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795" windowWidth="15600" windowHeight="6750" tabRatio="789" activeTab="7"/>
  </bookViews>
  <sheets>
    <sheet name="Info" sheetId="14" r:id="rId1"/>
    <sheet name="Netzbetreiber" sheetId="5" r:id="rId2"/>
    <sheet name="SLP-Verfahren" sheetId="15" r:id="rId3"/>
    <sheet name="SLP-Temp-Gebiet #02" sheetId="18" state="hidden" r:id="rId4"/>
    <sheet name="SLP-Temp-Gebiet Weilerswist-Lom" sheetId="19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6" i="19" l="1"/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F62" i="19"/>
  <c r="M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F52" i="19"/>
  <c r="M53" i="19" s="1"/>
  <c r="N29" i="19"/>
  <c r="M29" i="19"/>
  <c r="L29" i="19"/>
  <c r="K29" i="19"/>
  <c r="J29" i="19"/>
  <c r="I29" i="19"/>
  <c r="H29" i="19"/>
  <c r="G29" i="19"/>
  <c r="F29" i="19"/>
  <c r="E29" i="19"/>
  <c r="D32" i="19" s="1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D22" i="19" l="1"/>
  <c r="M31" i="19"/>
  <c r="K31" i="19"/>
  <c r="I31" i="19"/>
  <c r="G31" i="19"/>
  <c r="N31" i="19"/>
  <c r="L31" i="19"/>
  <c r="J31" i="19"/>
  <c r="H31" i="19"/>
  <c r="F31" i="19"/>
  <c r="E31" i="19" s="1"/>
  <c r="M21" i="19"/>
  <c r="K21" i="19"/>
  <c r="I21" i="19"/>
  <c r="G21" i="19"/>
  <c r="N21" i="19"/>
  <c r="L21" i="19"/>
  <c r="J21" i="19"/>
  <c r="H21" i="19"/>
  <c r="F21" i="19"/>
  <c r="F53" i="19"/>
  <c r="H53" i="19"/>
  <c r="J53" i="19"/>
  <c r="L53" i="19"/>
  <c r="N53" i="19"/>
  <c r="F63" i="19"/>
  <c r="H63" i="19"/>
  <c r="J63" i="19"/>
  <c r="L63" i="19"/>
  <c r="N63" i="19"/>
  <c r="E53" i="19"/>
  <c r="G53" i="19"/>
  <c r="I53" i="19"/>
  <c r="K53" i="19"/>
  <c r="E63" i="19"/>
  <c r="G63" i="19"/>
  <c r="I63" i="19"/>
  <c r="K63" i="19"/>
  <c r="C33" i="15"/>
  <c r="C32" i="15"/>
  <c r="C29" i="15"/>
  <c r="C28" i="15"/>
  <c r="D56" i="19" l="1"/>
  <c r="G55" i="19" s="1"/>
  <c r="E21" i="19"/>
  <c r="D66" i="19"/>
  <c r="M55" i="19"/>
  <c r="N55" i="19"/>
  <c r="L55" i="19"/>
  <c r="J55" i="19"/>
  <c r="H55" i="19"/>
  <c r="F55" i="19"/>
  <c r="I55" i="19"/>
  <c r="K55" i="19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M53" i="18"/>
  <c r="J53" i="18"/>
  <c r="G53" i="18"/>
  <c r="E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D22" i="18" s="1"/>
  <c r="F11" i="18"/>
  <c r="F9" i="18"/>
  <c r="E55" i="19" l="1"/>
  <c r="M65" i="19"/>
  <c r="K65" i="19"/>
  <c r="I65" i="19"/>
  <c r="G65" i="19"/>
  <c r="N65" i="19"/>
  <c r="L65" i="19"/>
  <c r="J65" i="19"/>
  <c r="H65" i="19"/>
  <c r="F65" i="19"/>
  <c r="F53" i="18"/>
  <c r="I53" i="18"/>
  <c r="K53" i="18"/>
  <c r="N53" i="18"/>
  <c r="E63" i="18"/>
  <c r="G63" i="18"/>
  <c r="J63" i="18"/>
  <c r="M63" i="18"/>
  <c r="F63" i="18"/>
  <c r="I63" i="18"/>
  <c r="K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D56" i="18" s="1"/>
  <c r="J55" i="18" s="1"/>
  <c r="H63" i="18"/>
  <c r="D66" i="18" s="1"/>
  <c r="D24" i="15"/>
  <c r="C23" i="15"/>
  <c r="E65" i="19" l="1"/>
  <c r="E31" i="18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E55" i="18" l="1"/>
  <c r="E65" i="18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E5" i="19" s="1"/>
  <c r="C7" i="1"/>
  <c r="D8" i="7"/>
  <c r="D8" i="15"/>
  <c r="E5" i="18" l="1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11" i="8"/>
  <c r="C8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12" i="7"/>
  <c r="F26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<sst xmlns="http://schemas.openxmlformats.org/spreadsheetml/2006/main" count="1377" uniqueCount="680">
  <si>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</si>
  <si>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</si>
  <si>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</si>
  <si>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</si>
  <si>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</si>
  <si>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</si>
  <si>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</si>
  <si>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</si>
  <si>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</si>
  <si>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</si>
  <si>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</si>
  <si>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</si>
  <si>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</si>
  <si>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</si>
  <si>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</si>
  <si>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</si>
  <si>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</si>
  <si>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</si>
  <si>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</si>
  <si>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</si>
  <si>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</si>
  <si>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</si>
  <si>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</si>
  <si>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</si>
  <si>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</si>
  <si>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</si>
  <si>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</si>
  <si>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</si>
  <si>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</si>
  <si>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</si>
  <si>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</si>
  <si>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</si>
  <si>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</si>
  <si>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</si>
  <si>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</si>
  <si>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</si>
  <si>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</si>
  <si>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</si>
  <si>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</si>
  <si>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</si>
  <si>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</si>
  <si>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</si>
  <si>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</si>
  <si>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</si>
  <si>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</si>
  <si>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</si>
  <si>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</si>
  <si>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</si>
  <si>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</si>
  <si>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</si>
  <si>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</si>
  <si>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</si>
  <si>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</si>
  <si>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</si>
  <si>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</si>
  <si>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</si>
  <si>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</si>
  <si>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</si>
  <si>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</si>
  <si>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</si>
  <si>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</si>
  <si>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</si>
  <si>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</si>
  <si>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</si>
  <si>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</si>
  <si>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</si>
  <si>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</si>
  <si>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</si>
  <si>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</si>
  <si>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</si>
  <si>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</si>
  <si>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</si>
  <si>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</si>
  <si>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</si>
  <si>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</si>
  <si>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</si>
  <si>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</si>
  <si>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</si>
  <si>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</si>
  <si>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</si>
  <si>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</si>
  <si>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</si>
  <si>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</si>
  <si>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</si>
  <si>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</si>
  <si>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</si>
  <si>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</si>
  <si>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</si>
  <si>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</si>
  <si>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</si>
  <si>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</si>
  <si>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</si>
  <si>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</si>
  <si>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</si>
  <si>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</si>
  <si>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</si>
  <si>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</si>
  <si>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</si>
  <si>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</si>
  <si>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</si>
  <si>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</si>
  <si>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</si>
  <si>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</si>
  <si>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</si>
  <si>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</si>
  <si>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</si>
  <si>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</si>
  <si>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</si>
  <si>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</si>
  <si>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</si>
  <si>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</si>
  <si>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</si>
  <si>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</si>
  <si>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</si>
  <si>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</si>
  <si>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</si>
  <si>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</si>
  <si>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</si>
  <si>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</si>
  <si>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</si>
  <si>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</si>
  <si>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</si>
  <si>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</si>
  <si>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</si>
  <si>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</si>
  <si>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</si>
  <si>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</si>
  <si>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</si>
  <si>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</si>
  <si>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</si>
  <si>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</si>
  <si>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</si>
  <si>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</si>
  <si>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</si>
  <si>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</si>
  <si>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</si>
  <si>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</si>
  <si>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</si>
  <si>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</si>
  <si>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</si>
  <si>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</si>
  <si>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</si>
  <si>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</si>
  <si>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</si>
  <si>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</si>
  <si>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</si>
  <si>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</si>
  <si>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</si>
  <si>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</si>
  <si>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</si>
  <si>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</si>
  <si>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</si>
  <si>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</si>
  <si>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</si>
  <si>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</si>
  <si>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</si>
  <si>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</si>
  <si>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</si>
  <si>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</si>
  <si>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</si>
  <si>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</si>
  <si>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</si>
  <si>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</si>
  <si>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</si>
  <si>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</si>
  <si>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</si>
  <si>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</si>
  <si>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</si>
  <si>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</si>
  <si>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</si>
  <si>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</si>
  <si>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</si>
  <si>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</si>
  <si>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</si>
  <si>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</si>
  <si>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</si>
  <si>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</si>
  <si>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</si>
  <si>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</si>
  <si>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</si>
  <si>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</si>
  <si>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</si>
  <si>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</si>
  <si>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</si>
  <si>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</si>
  <si>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</si>
  <si>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</si>
  <si>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</si>
  <si>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</si>
  <si>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</si>
  <si>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</si>
  <si>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</si>
  <si>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</si>
  <si>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</si>
  <si>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</si>
  <si>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</si>
  <si>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</si>
  <si>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</si>
  <si>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</si>
  <si>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</si>
  <si>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</si>
  <si>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</si>
  <si>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</si>
  <si>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</si>
  <si>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</si>
  <si>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</si>
  <si>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</si>
  <si>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</si>
  <si>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</si>
  <si>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</si>
  <si>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</si>
  <si>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</si>
  <si>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</si>
  <si>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</si>
  <si>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</si>
  <si>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</si>
  <si>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</si>
  <si>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</si>
  <si>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</si>
  <si>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</si>
  <si>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</si>
  <si>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</si>
  <si>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</si>
  <si>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</si>
  <si>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</si>
  <si>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</si>
  <si>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</si>
  <si>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</si>
  <si>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</si>
  <si>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</si>
  <si>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</si>
  <si>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</si>
  <si>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</si>
  <si>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</si>
  <si>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</si>
  <si>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</si>
  <si>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</si>
  <si>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</si>
  <si>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</si>
  <si>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</si>
  <si>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</si>
  <si>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</si>
  <si>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</si>
  <si>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</si>
  <si>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</si>
  <si>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</si>
  <si>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</si>
  <si>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</si>
  <si>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</si>
  <si>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</si>
  <si>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</si>
  <si>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</si>
  <si>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</si>
  <si>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</si>
  <si>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</si>
  <si>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</si>
  <si>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</si>
  <si>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</si>
  <si>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</si>
  <si>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</si>
  <si>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</si>
  <si>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</si>
  <si>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</si>
  <si>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</si>
  <si>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</si>
  <si>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</si>
  <si>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</si>
  <si>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</si>
  <si>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</si>
  <si>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</si>
  <si>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</si>
  <si>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</si>
  <si>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</si>
  <si>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</si>
  <si>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</si>
  <si>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</si>
  <si>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</si>
  <si>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</si>
  <si>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</si>
  <si>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</si>
  <si>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</si>
  <si>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</si>
  <si>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</si>
  <si>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</si>
  <si>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</si>
  <si>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</si>
  <si>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</si>
  <si>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</si>
  <si>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</si>
  <si>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</si>
  <si>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</si>
  <si>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</si>
  <si>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</si>
  <si>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</si>
  <si>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</si>
  <si>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</si>
  <si>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</si>
  <si>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</si>
  <si>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</si>
  <si>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</si>
  <si>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</si>
  <si>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</si>
  <si>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</si>
  <si>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</si>
  <si>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</si>
  <si>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</si>
  <si>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</si>
  <si>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</si>
  <si>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</si>
  <si>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</si>
  <si>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</si>
  <si>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</si>
  <si>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</si>
  <si>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</si>
  <si>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</si>
  <si>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</si>
  <si>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</si>
  <si>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</si>
  <si>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</si>
  <si>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</si>
  <si>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</si>
  <si>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</si>
  <si>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</si>
  <si>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</si>
  <si>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</si>
  <si>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</si>
  <si>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</si>
  <si>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</si>
  <si>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</si>
  <si>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</si>
  <si>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</si>
  <si>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</si>
  <si>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</si>
  <si>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</si>
  <si>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</si>
  <si>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</si>
  <si>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</si>
  <si>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</si>
  <si>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</si>
  <si>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</si>
  <si>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</si>
  <si>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</si>
  <si>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</si>
  <si>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</si>
  <si>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</si>
  <si>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</si>
  <si>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</si>
  <si>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</si>
  <si>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</si>
  <si>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</si>
  <si>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</si>
  <si>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</si>
  <si>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</si>
  <si>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</si>
  <si>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</si>
  <si>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</si>
  <si>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</si>
  <si>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</si>
  <si>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</si>
  <si>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</si>
  <si>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</si>
  <si>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</si>
  <si>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</si>
  <si>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</si>
  <si>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</si>
  <si>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</si>
  <si>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</si>
  <si>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</si>
  <si>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</si>
  <si>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</si>
  <si>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</si>
  <si>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</si>
  <si>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</si>
  <si>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</si>
  <si>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</si>
  <si>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</si>
  <si>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</si>
  <si>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</si>
  <si>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</si>
  <si>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</si>
  <si>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</si>
  <si>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</si>
  <si>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</si>
  <si>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</si>
  <si>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</si>
  <si>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</si>
  <si>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</si>
  <si>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</si>
  <si>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</si>
  <si>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</si>
  <si>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</si>
  <si>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</si>
  <si>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</si>
  <si>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</si>
  <si>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</si>
  <si>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</si>
  <si>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</si>
  <si>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</si>
  <si>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</si>
  <si>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</si>
  <si>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</si>
  <si>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</si>
  <si>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</si>
  <si>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</si>
  <si>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</si>
  <si>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</si>
  <si>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</si>
  <si>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</si>
  <si>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</si>
  <si>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</si>
  <si>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</si>
  <si>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</si>
  <si>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</si>
  <si>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</si>
  <si>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</si>
  <si>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</si>
  <si>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</si>
  <si>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</si>
  <si>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</si>
  <si>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</si>
  <si>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</si>
  <si>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</si>
  <si>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</si>
  <si>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</si>
  <si>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</si>
  <si>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</si>
  <si>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</si>
  <si>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</si>
  <si>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</si>
  <si>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</si>
  <si>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</si>
  <si>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</si>
  <si>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</si>
  <si>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</si>
  <si>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</si>
  <si>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</si>
  <si>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</si>
  <si>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</si>
  <si>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</si>
  <si>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</si>
  <si>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</si>
  <si>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</si>
  <si>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</si>
  <si>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</si>
  <si>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</si>
  <si>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</si>
  <si>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</si>
  <si>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</si>
  <si>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</si>
  <si>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</si>
  <si>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</si>
  <si>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</si>
  <si>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</si>
  <si>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</si>
  <si>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</si>
  <si>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</si>
  <si>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</si>
  <si>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</si>
  <si>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</si>
  <si>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</si>
  <si>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</si>
  <si>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</si>
  <si>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</si>
  <si>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</si>
  <si>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</si>
  <si>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</si>
  <si>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</si>
  <si>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</si>
  <si>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</si>
  <si>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</si>
  <si>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</si>
  <si>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</si>
  <si>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</si>
  <si>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</si>
  <si>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</si>
  <si>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</si>
  <si>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</si>
  <si>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</si>
  <si>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</si>
  <si>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</si>
  <si>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</si>
  <si>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</si>
  <si>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</si>
  <si>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</si>
  <si>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</si>
  <si>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</si>
  <si>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</si>
  <si>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</si>
  <si>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</si>
  <si>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</si>
  <si>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</si>
  <si>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</si>
  <si>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</si>
  <si>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</si>
  <si>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</si>
  <si>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</si>
  <si>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</si>
  <si>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</si>
  <si>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</si>
  <si>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</si>
  <si>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</si>
  <si>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</si>
  <si>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</si>
  <si>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</si>
  <si>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</si>
  <si>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</si>
  <si>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</si>
  <si>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</si>
  <si>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</si>
  <si>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</si>
  <si>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</si>
  <si>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</si>
  <si>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</si>
  <si>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</si>
  <si>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</si>
  <si>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</si>
  <si>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</si>
  <si>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</si>
  <si>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</si>
  <si>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</si>
  <si>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</si>
  <si>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</si>
  <si>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</si>
  <si>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</si>
  <si>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</si>
  <si>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</si>
  <si>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</si>
  <si>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</si>
  <si>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</si>
  <si>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</si>
  <si>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</si>
  <si>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</si>
  <si>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</si>
  <si>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</si>
  <si>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</si>
  <si>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</si>
  <si>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</si>
  <si>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</si>
  <si>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</si>
  <si>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</si>
  <si>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</si>
  <si>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</si>
  <si>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</si>
  <si>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</si>
  <si>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</si>
  <si>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</si>
  <si>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</si>
  <si>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</si>
  <si>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</si>
  <si>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</si>
  <si>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</si>
  <si>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</si>
  <si>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</si>
  <si>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</si>
  <si>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</si>
  <si>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</si>
  <si>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</si>
  <si>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</si>
  <si>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</si>
  <si>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</si>
  <si>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</si>
  <si>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</si>
  <si>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</si>
  <si>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</si>
  <si>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</si>
  <si>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</si>
  <si>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</si>
  <si>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</si>
  <si>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</si>
  <si>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</si>
  <si>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</si>
  <si>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</si>
  <si>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</si>
  <si>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</si>
  <si>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</si>
  <si>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</si>
  <si>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</si>
  <si>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</si>
  <si>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</si>
  <si>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</si>
  <si>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</si>
  <si>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</si>
  <si>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</si>
  <si>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</si>
  <si>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</si>
  <si>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</si>
  <si>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</si>
  <si>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</si>
  <si>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</si>
  <si>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</si>
  <si>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</si>
  <si>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</si>
  <si>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</si>
  <si>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</si>
  <si>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</si>
  <si>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</si>
  <si>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</si>
  <si>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</si>
  <si>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</si>
  <si>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</si>
  <si>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</si>
  <si>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</si>
  <si>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</si>
  <si>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</si>
  <si>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</si>
  <si>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</si>
  <si>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</si>
  <si>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</si>
  <si>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</si>
  <si>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</si>
  <si>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</si>
  <si>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</si>
  <si>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</si>
  <si>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</si>
  <si>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</si>
  <si>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</si>
  <si>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</si>
  <si>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</si>
  <si>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</si>
  <si>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</si>
  <si>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</si>
  <si>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</si>
  <si>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</si>
  <si>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</si>
  <si>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</si>
  <si>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</si>
  <si>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</si>
  <si>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</si>
  <si>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</si>
  <si>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</si>
  <si>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</si>
  <si>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</si>
  <si>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</si>
  <si>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</si>
  <si>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</si>
  <si>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</si>
  <si>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</si>
  <si>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</si>
  <si>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</si>
  <si>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</si>
  <si>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</si>
  <si>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</si>
  <si>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</si>
  <si>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</si>
  <si>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</si>
  <si>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</si>
  <si>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</si>
  <si>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</si>
  <si>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</si>
  <si>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</si>
  <si>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</si>
  <si>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</si>
  <si>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</si>
  <si>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</si>
  <si>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</si>
  <si>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0.1</t>
  </si>
  <si>
    <t>Euskirchen</t>
  </si>
  <si>
    <t>Hubertus Beeke-Lentzen</t>
  </si>
  <si>
    <t>02251/708153</t>
  </si>
  <si>
    <t>NCLN007001130000</t>
  </si>
  <si>
    <t>Weilerswist-Lommersum</t>
  </si>
  <si>
    <t>DE_HEF04</t>
  </si>
  <si>
    <t>DE_GGA04</t>
  </si>
  <si>
    <t>DE_HMF04</t>
  </si>
  <si>
    <t>DE_GKO04</t>
  </si>
  <si>
    <t>DE_GBD04</t>
  </si>
  <si>
    <t>DE_GHA04</t>
  </si>
  <si>
    <t>DE_GMK04</t>
  </si>
  <si>
    <t>DE_GGB04</t>
  </si>
  <si>
    <t>DE_GBH04</t>
  </si>
  <si>
    <t>DE_GBA04</t>
  </si>
  <si>
    <t>DE_GWA04</t>
  </si>
  <si>
    <t>DE_GMF04</t>
  </si>
  <si>
    <t>DE_GPD04</t>
  </si>
  <si>
    <t>DE_GGA03</t>
  </si>
  <si>
    <t>DE_GKO03</t>
  </si>
  <si>
    <t>e-regio GmbH &amp; Co. KG</t>
  </si>
  <si>
    <t>Rheinbacher Weg 10</t>
  </si>
  <si>
    <t>netzmanagement@e-regio.de</t>
  </si>
  <si>
    <t>e-regio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</si>
</sst>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0" xfId="0" applyFont="1" applyBorder="1" applyAlignment="1" applyProtection="1">
      <alignment horizontal="right" vertical="center" wrapText="1"/>
    </xf>
    <xf numFmtId="1" fontId="0" fillId="33" borderId="17" xfId="0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77" fillId="33" borderId="17" xfId="152" applyFill="1" applyBorder="1" applyAlignment="1" applyProtection="1">
      <alignment horizont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172879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511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42461</v>
      </c>
      <c r="E29" s="8"/>
      <c r="F29" s="8"/>
      <c r="G29" s="8"/>
      <c r="H29" s="8"/>
    </row>
    <row r="30" spans="2:12">
      <c r="B30" s="21" t="s">
        <v>348</v>
      </c>
      <c r="C30" s="337" t="s">
        <v>655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506</v>
      </c>
      <c r="D4" s="27">
        <v>42201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507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70</v>
      </c>
      <c r="C9" s="5" t="s">
        <v>261</v>
      </c>
      <c r="D9" s="41" t="s">
        <v>676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71</v>
      </c>
      <c r="C11" s="4" t="s">
        <v>488</v>
      </c>
      <c r="D11" s="339">
        <v>987011300009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72</v>
      </c>
      <c r="C13" s="5" t="s">
        <v>262</v>
      </c>
      <c r="D13" s="41" t="s">
        <v>677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73</v>
      </c>
      <c r="C15" s="5" t="s">
        <v>263</v>
      </c>
      <c r="D15" s="43">
        <v>53881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74</v>
      </c>
      <c r="C17" s="5" t="s">
        <v>264</v>
      </c>
      <c r="D17" s="41" t="s">
        <v>656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75</v>
      </c>
      <c r="C19" s="5" t="s">
        <v>265</v>
      </c>
      <c r="D19" s="41" t="s">
        <v>657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76</v>
      </c>
      <c r="C21" s="5" t="s">
        <v>266</v>
      </c>
      <c r="D21" s="357" t="s">
        <v>678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77</v>
      </c>
      <c r="C23" s="5" t="s">
        <v>267</v>
      </c>
      <c r="D23" s="41" t="s">
        <v>658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505</v>
      </c>
      <c r="D28" s="47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396</v>
      </c>
      <c r="D29" s="44" t="s">
        <v>679</v>
      </c>
      <c r="E29" s="40"/>
      <c r="F29" s="11"/>
      <c r="G29" s="2"/>
    </row>
    <row r="30" spans="1:15">
      <c r="B30" s="15"/>
      <c r="C30" s="22" t="s">
        <v>397</v>
      </c>
      <c r="D30" s="44"/>
      <c r="E30" s="40"/>
      <c r="F30" s="46"/>
      <c r="G30" s="2"/>
    </row>
    <row r="31" spans="1:15">
      <c r="B31" s="15"/>
      <c r="C31" s="22" t="s">
        <v>422</v>
      </c>
      <c r="D31" s="45"/>
      <c r="E31" s="40"/>
      <c r="F31" s="46"/>
      <c r="G31" s="2"/>
    </row>
    <row r="32" spans="1:15">
      <c r="B32" s="15"/>
      <c r="C32" s="22" t="s">
        <v>423</v>
      </c>
      <c r="D32" s="45"/>
      <c r="E32" s="40"/>
      <c r="F32" s="46"/>
      <c r="G32" s="2"/>
    </row>
    <row r="33" spans="2:7">
      <c r="B33" s="15"/>
      <c r="C33" s="22" t="s">
        <v>424</v>
      </c>
      <c r="D33" s="44"/>
      <c r="E33" s="40"/>
      <c r="F33" s="46"/>
      <c r="G33" s="2"/>
    </row>
    <row r="34" spans="2:7">
      <c r="B34" s="15"/>
      <c r="C34" s="22" t="s">
        <v>425</v>
      </c>
      <c r="D34" s="45"/>
      <c r="E34" s="40"/>
      <c r="F34" s="46"/>
      <c r="G34" s="2"/>
    </row>
    <row r="35" spans="2:7">
      <c r="B35" s="15"/>
      <c r="C35" s="22" t="s">
        <v>426</v>
      </c>
      <c r="D35" s="45"/>
      <c r="E35" s="40"/>
      <c r="F35" s="46"/>
      <c r="G35" s="2"/>
    </row>
    <row r="36" spans="2:7">
      <c r="B36" s="15"/>
      <c r="C36" s="22" t="s">
        <v>427</v>
      </c>
      <c r="D36" s="45"/>
      <c r="E36" s="40"/>
      <c r="F36" s="46"/>
      <c r="G36" s="2"/>
    </row>
    <row r="37" spans="2:7">
      <c r="B37" s="15"/>
      <c r="C37" s="22" t="s">
        <v>428</v>
      </c>
      <c r="D37" s="45"/>
      <c r="E37" s="40"/>
      <c r="F37" s="46"/>
      <c r="G37" s="2"/>
    </row>
    <row r="38" spans="2:7">
      <c r="B38" s="15"/>
      <c r="C38" s="22" t="s">
        <v>434</v>
      </c>
      <c r="D38" s="45"/>
      <c r="E38" s="40"/>
      <c r="F38" s="46"/>
      <c r="G38" s="2"/>
    </row>
    <row r="39" spans="2:7">
      <c r="B39" s="15"/>
      <c r="C39" s="22" t="s">
        <v>435</v>
      </c>
      <c r="D39" s="45"/>
      <c r="E39" s="40"/>
      <c r="F39" s="46"/>
      <c r="G39" s="2"/>
    </row>
    <row r="40" spans="2:7">
      <c r="B40" s="15"/>
      <c r="C40" s="22" t="s">
        <v>436</v>
      </c>
      <c r="D40" s="45"/>
      <c r="E40" s="40"/>
      <c r="F40" s="46"/>
      <c r="G40" s="2"/>
    </row>
    <row r="41" spans="2:7">
      <c r="B41" s="15"/>
      <c r="C41" s="22" t="s">
        <v>437</v>
      </c>
      <c r="D41" s="45"/>
      <c r="E41" s="40"/>
      <c r="F41" s="46"/>
      <c r="G41" s="2"/>
    </row>
    <row r="42" spans="2:7">
      <c r="B42" s="15"/>
      <c r="C42" s="22" t="s">
        <v>438</v>
      </c>
      <c r="D42" s="45"/>
      <c r="E42" s="40"/>
      <c r="F42" s="46"/>
      <c r="G42" s="2"/>
    </row>
    <row r="43" spans="2:7">
      <c r="B43" s="15"/>
      <c r="C43" s="22" t="s">
        <v>439</v>
      </c>
      <c r="D43" s="45"/>
      <c r="E43" s="40"/>
      <c r="F43" s="46"/>
      <c r="G43" s="2"/>
    </row>
    <row r="44" spans="2:7">
      <c r="B44" s="15"/>
      <c r="C44" s="22" t="s">
        <v>440</v>
      </c>
      <c r="D44" s="45"/>
      <c r="E44" s="40"/>
      <c r="F44" s="46"/>
      <c r="G44" s="2"/>
    </row>
    <row r="45" spans="2:7">
      <c r="B45" s="15"/>
      <c r="C45" s="22" t="s">
        <v>441</v>
      </c>
      <c r="D45" s="45"/>
      <c r="E45" s="40"/>
      <c r="F45" s="46"/>
      <c r="G45" s="2"/>
    </row>
    <row r="46" spans="2:7">
      <c r="B46" s="15"/>
      <c r="C46" s="22" t="s">
        <v>442</v>
      </c>
      <c r="D46" s="45"/>
      <c r="E46" s="40"/>
      <c r="F46" s="46"/>
    </row>
    <row r="47" spans="2:7">
      <c r="B47" s="15"/>
      <c r="C47" s="22" t="s">
        <v>443</v>
      </c>
      <c r="D47" s="45"/>
      <c r="E47" s="40"/>
      <c r="F47" s="46"/>
    </row>
    <row r="48" spans="2:7">
      <c r="B48" s="15"/>
      <c r="C48" s="22" t="s">
        <v>444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8" priority="2">
      <formula>IF(CELL("Zeile",D29)&lt;$D$25+CELL("Zeile",$D$29),1,0)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7" zoomScale="80" zoomScaleNormal="80" workbookViewId="0">
      <selection activeCell="C57" sqref="C5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448</v>
      </c>
      <c r="D5" s="57" t="str">
        <f>Netzbetreiber!$D$9</f>
        <v>e-regio GmbH &amp; Co. KG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7" t="str">
        <f>Netzbetreiber!D28</f>
        <v>e-regio</v>
      </c>
      <c r="E6" s="15"/>
      <c r="H6" s="67"/>
      <c r="I6" s="67"/>
      <c r="J6" s="67"/>
      <c r="K6" s="67"/>
    </row>
    <row r="7" spans="2:15" ht="15" customHeight="1">
      <c r="B7" s="22"/>
      <c r="C7" s="59" t="s">
        <v>491</v>
      </c>
      <c r="D7" s="340">
        <f>Netzbetreiber!$D$11</f>
        <v>987011300009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49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268</v>
      </c>
      <c r="D11" s="33" t="s">
        <v>256</v>
      </c>
      <c r="E11" s="15"/>
      <c r="H11" s="275" t="s">
        <v>256</v>
      </c>
      <c r="I11" s="275" t="s">
        <v>259</v>
      </c>
      <c r="J11" s="275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620</v>
      </c>
      <c r="D13" s="33" t="s">
        <v>622</v>
      </c>
      <c r="E13" s="15"/>
      <c r="H13" s="275" t="s">
        <v>621</v>
      </c>
      <c r="I13" s="275" t="s">
        <v>622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433</v>
      </c>
      <c r="D15" s="42" t="s">
        <v>659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71"/>
      <c r="I16" s="271"/>
      <c r="J16" s="271"/>
      <c r="K16" s="271"/>
      <c r="L16" s="272"/>
    </row>
    <row r="17" spans="2:16" ht="15" customHeight="1">
      <c r="B17" s="22"/>
      <c r="C17" s="5"/>
      <c r="D17" s="29"/>
      <c r="E17" s="15"/>
      <c r="H17" s="271"/>
      <c r="I17" s="271"/>
      <c r="J17" s="271"/>
      <c r="K17" s="271"/>
      <c r="L17" s="272"/>
    </row>
    <row r="18" spans="2:16" ht="15" customHeight="1">
      <c r="B18" s="7" t="s">
        <v>83</v>
      </c>
      <c r="C18" s="31" t="s">
        <v>369</v>
      </c>
      <c r="D18" s="48" t="s">
        <v>257</v>
      </c>
      <c r="E18" s="15"/>
      <c r="H18" s="273" t="s">
        <v>257</v>
      </c>
      <c r="I18" s="273" t="s">
        <v>134</v>
      </c>
      <c r="J18" s="271"/>
      <c r="K18" s="271"/>
      <c r="L18" s="272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4" t="s">
        <v>580</v>
      </c>
      <c r="I19" s="274" t="s">
        <v>492</v>
      </c>
      <c r="J19" s="271"/>
      <c r="K19" s="271"/>
      <c r="L19" s="272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4" t="s">
        <v>493</v>
      </c>
      <c r="I20" s="274" t="s">
        <v>494</v>
      </c>
      <c r="J20" s="271"/>
      <c r="K20" s="271"/>
      <c r="L20" s="272"/>
    </row>
    <row r="21" spans="2:16" ht="15" customHeight="1">
      <c r="B21" s="22"/>
      <c r="C21" s="32"/>
      <c r="D21" s="16"/>
      <c r="E21" s="15"/>
      <c r="H21" s="274"/>
      <c r="I21" s="274"/>
      <c r="J21" s="271"/>
      <c r="K21" s="271"/>
      <c r="L21" s="272"/>
    </row>
    <row r="22" spans="2:16" ht="15" customHeight="1">
      <c r="B22" s="7" t="s">
        <v>84</v>
      </c>
      <c r="C22" s="8" t="s">
        <v>618</v>
      </c>
      <c r="D22" s="48" t="s">
        <v>614</v>
      </c>
      <c r="E22" s="15"/>
      <c r="H22" s="271" t="s">
        <v>614</v>
      </c>
      <c r="I22" s="271" t="s">
        <v>615</v>
      </c>
      <c r="J22" s="271"/>
      <c r="K22" s="8"/>
      <c r="L22" s="272"/>
    </row>
    <row r="23" spans="2:16" ht="15" customHeight="1">
      <c r="B23" s="7"/>
      <c r="C23" s="8" t="str">
        <f>HLOOKUP(D22,H22:I23,2,0)</f>
        <v>nach TU-München Verfahren</v>
      </c>
      <c r="D23" s="48" t="s">
        <v>616</v>
      </c>
      <c r="E23" s="15"/>
      <c r="H23" s="271" t="s">
        <v>617</v>
      </c>
      <c r="I23" s="8" t="s">
        <v>613</v>
      </c>
      <c r="J23" s="8"/>
      <c r="K23" s="8"/>
      <c r="L23" s="272"/>
    </row>
    <row r="24" spans="2:16" ht="15" customHeight="1">
      <c r="B24" s="22"/>
      <c r="C24" s="24" t="s">
        <v>619</v>
      </c>
      <c r="D24" s="24" t="str">
        <f>IF(D22=$H$22,L24,IF(D23=$H$24,M24,N24))</f>
        <v>=&gt;  Q(D) = KW  x  h(T, SLP-Typ)  x  F(WT)</v>
      </c>
      <c r="E24" s="15"/>
      <c r="H24" s="271" t="s">
        <v>616</v>
      </c>
      <c r="I24" s="271" t="s">
        <v>623</v>
      </c>
      <c r="J24" s="8"/>
      <c r="K24" s="8"/>
      <c r="L24" s="274" t="s">
        <v>624</v>
      </c>
      <c r="M24" s="274" t="s">
        <v>626</v>
      </c>
      <c r="N24" s="274" t="s">
        <v>625</v>
      </c>
      <c r="O24" s="8"/>
      <c r="P24" s="272"/>
    </row>
    <row r="25" spans="2:16" ht="15" customHeight="1">
      <c r="B25" s="22"/>
      <c r="C25" s="24"/>
      <c r="D25" s="15"/>
      <c r="E25" s="15"/>
      <c r="H25" s="271"/>
      <c r="I25" s="271"/>
      <c r="J25" s="271"/>
      <c r="K25" s="271"/>
      <c r="L25" s="272"/>
    </row>
    <row r="26" spans="2:16" ht="15" customHeight="1">
      <c r="B26" s="7" t="s">
        <v>371</v>
      </c>
      <c r="C26" s="6" t="s">
        <v>583</v>
      </c>
      <c r="D26" s="42" t="s">
        <v>135</v>
      </c>
      <c r="E26" s="15"/>
      <c r="H26" s="273" t="s">
        <v>133</v>
      </c>
      <c r="I26" s="273" t="s">
        <v>135</v>
      </c>
      <c r="J26" s="271"/>
      <c r="K26" s="271"/>
      <c r="L26" s="272"/>
    </row>
    <row r="27" spans="2:16" ht="15" customHeight="1">
      <c r="B27" s="7"/>
      <c r="C27" s="6" t="s">
        <v>627</v>
      </c>
      <c r="D27" s="42" t="s">
        <v>628</v>
      </c>
      <c r="E27" s="15"/>
      <c r="H27" s="307" t="s">
        <v>628</v>
      </c>
      <c r="I27" s="273" t="s">
        <v>629</v>
      </c>
      <c r="J27" s="273" t="s">
        <v>630</v>
      </c>
      <c r="K27" s="271"/>
      <c r="L27" s="272"/>
    </row>
    <row r="28" spans="2:16" ht="15" customHeight="1">
      <c r="B28" s="22"/>
      <c r="C28" s="15" t="str">
        <f>HLOOKUP(D27,H27:J28,2,0)</f>
        <v>=&gt; Q(Allokation)  =  Q(Synth.);    F(kor) = 1</v>
      </c>
      <c r="D28" s="308">
        <v>1</v>
      </c>
      <c r="E28" s="15"/>
      <c r="H28" s="274" t="s">
        <v>631</v>
      </c>
      <c r="I28" s="274" t="s">
        <v>632</v>
      </c>
      <c r="J28" s="274" t="s">
        <v>633</v>
      </c>
      <c r="K28" s="271"/>
      <c r="L28" s="272"/>
    </row>
    <row r="29" spans="2:16" ht="15" customHeight="1">
      <c r="B29" s="22"/>
      <c r="C29" s="15" t="str">
        <f>HLOOKUP(D27,H27:J29,3,0)</f>
        <v xml:space="preserve"> </v>
      </c>
      <c r="D29" s="309"/>
      <c r="E29" s="15"/>
      <c r="H29" s="274" t="s">
        <v>634</v>
      </c>
      <c r="I29" s="274" t="s">
        <v>635</v>
      </c>
      <c r="J29" s="274" t="s">
        <v>636</v>
      </c>
      <c r="K29" s="271"/>
      <c r="L29" s="272"/>
    </row>
    <row r="30" spans="2:16" ht="15" customHeight="1">
      <c r="B30" s="22"/>
      <c r="C30" s="24"/>
      <c r="D30" s="15"/>
      <c r="E30" s="15"/>
      <c r="H30" s="271"/>
      <c r="I30" s="271"/>
      <c r="J30" s="271"/>
      <c r="K30" s="271"/>
      <c r="L30" s="272"/>
    </row>
    <row r="31" spans="2:16" ht="15" customHeight="1">
      <c r="B31" s="7" t="s">
        <v>497</v>
      </c>
      <c r="C31" s="6" t="s">
        <v>582</v>
      </c>
      <c r="D31" s="42" t="s">
        <v>135</v>
      </c>
      <c r="E31" s="15"/>
      <c r="H31" s="273" t="s">
        <v>133</v>
      </c>
      <c r="I31" s="273" t="s">
        <v>135</v>
      </c>
      <c r="J31" s="271"/>
      <c r="K31" s="271"/>
      <c r="L31" s="272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4" t="s">
        <v>637</v>
      </c>
      <c r="I32" s="274" t="s">
        <v>638</v>
      </c>
      <c r="J32" s="271"/>
      <c r="K32" s="271"/>
      <c r="L32" s="272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4" t="s">
        <v>639</v>
      </c>
      <c r="I33" s="271" t="s">
        <v>634</v>
      </c>
      <c r="J33" s="271"/>
      <c r="K33" s="271"/>
      <c r="L33" s="272"/>
    </row>
    <row r="34" spans="2:39" ht="15" customHeight="1">
      <c r="B34" s="22"/>
      <c r="C34" s="24"/>
      <c r="D34" s="15"/>
      <c r="E34" s="15"/>
      <c r="H34" s="271"/>
      <c r="I34" s="271"/>
      <c r="J34" s="271"/>
      <c r="K34" s="271"/>
      <c r="L34" s="272"/>
    </row>
    <row r="35" spans="2:39" ht="15" customHeight="1">
      <c r="B35" s="23" t="s">
        <v>554</v>
      </c>
      <c r="C35" s="24" t="s">
        <v>499</v>
      </c>
      <c r="D35" s="267">
        <v>12</v>
      </c>
      <c r="E35" s="15"/>
      <c r="H35" s="271"/>
      <c r="I35" s="271"/>
      <c r="J35" s="271"/>
      <c r="K35" s="271"/>
      <c r="L35" s="272"/>
    </row>
    <row r="36" spans="2:39" ht="15" customHeight="1">
      <c r="B36" s="22"/>
      <c r="C36" s="24"/>
      <c r="D36" s="15"/>
      <c r="E36" s="15"/>
      <c r="H36" s="271"/>
      <c r="I36" s="271"/>
      <c r="J36" s="271"/>
      <c r="K36" s="271"/>
      <c r="L36" s="272"/>
    </row>
    <row r="37" spans="2:39" ht="15" customHeight="1">
      <c r="B37" s="7" t="s">
        <v>555</v>
      </c>
      <c r="C37" s="5" t="s">
        <v>366</v>
      </c>
      <c r="D37" s="34">
        <v>1500000</v>
      </c>
      <c r="E37" s="15" t="s">
        <v>512</v>
      </c>
      <c r="I37" s="271"/>
      <c r="J37" s="271"/>
      <c r="K37" s="271"/>
      <c r="L37" s="271"/>
      <c r="M37" s="272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556</v>
      </c>
      <c r="C40" s="5" t="s">
        <v>367</v>
      </c>
      <c r="D40" s="36">
        <v>500</v>
      </c>
      <c r="E40" s="15" t="s">
        <v>546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545</v>
      </c>
    </row>
    <row r="44" spans="2:39" ht="18" customHeight="1">
      <c r="C44" s="3" t="s">
        <v>547</v>
      </c>
    </row>
    <row r="45" spans="2:39" ht="18" customHeight="1">
      <c r="C45" s="3"/>
    </row>
    <row r="46" spans="2:39" ht="15" customHeight="1">
      <c r="B46" s="22" t="s">
        <v>557</v>
      </c>
      <c r="C46" s="59" t="s">
        <v>581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591</v>
      </c>
      <c r="D48" s="44" t="s">
        <v>660</v>
      </c>
    </row>
    <row r="49" spans="3:4" ht="18" customHeight="1">
      <c r="C49" s="22" t="s">
        <v>592</v>
      </c>
      <c r="D49" s="44"/>
    </row>
    <row r="50" spans="3:4" ht="18" customHeight="1">
      <c r="C50" s="22" t="s">
        <v>593</v>
      </c>
      <c r="D50" s="44"/>
    </row>
    <row r="51" spans="3:4" ht="18" customHeight="1">
      <c r="C51" s="22" t="s">
        <v>594</v>
      </c>
      <c r="D51" s="44"/>
    </row>
    <row r="52" spans="3:4" ht="18" customHeight="1">
      <c r="C52" s="22" t="s">
        <v>595</v>
      </c>
      <c r="D52" s="44"/>
    </row>
    <row r="53" spans="3:4" ht="18" customHeight="1">
      <c r="C53" s="22" t="s">
        <v>596</v>
      </c>
      <c r="D53" s="44"/>
    </row>
    <row r="54" spans="3:4" ht="18" customHeight="1">
      <c r="C54" s="22" t="s">
        <v>597</v>
      </c>
      <c r="D54" s="44"/>
    </row>
    <row r="55" spans="3:4" ht="18" customHeight="1">
      <c r="C55" s="22" t="s">
        <v>598</v>
      </c>
      <c r="D55" s="44"/>
    </row>
    <row r="56" spans="3:4" ht="18" customHeight="1">
      <c r="C56" s="22" t="s">
        <v>599</v>
      </c>
      <c r="D56" s="44"/>
    </row>
    <row r="57" spans="3:4" ht="18" customHeight="1">
      <c r="C57" s="22" t="s">
        <v>600</v>
      </c>
      <c r="D57" s="44"/>
    </row>
    <row r="58" spans="3:4" ht="18" customHeight="1">
      <c r="C58" s="22" t="s">
        <v>601</v>
      </c>
      <c r="D58" s="44"/>
    </row>
    <row r="59" spans="3:4" ht="18" customHeight="1">
      <c r="C59" s="22" t="s">
        <v>602</v>
      </c>
      <c r="D59" s="44"/>
    </row>
    <row r="60" spans="3:4" ht="18" customHeight="1">
      <c r="C60" s="22" t="s">
        <v>603</v>
      </c>
      <c r="D60" s="44"/>
    </row>
    <row r="61" spans="3:4" ht="18" customHeight="1">
      <c r="C61" s="22" t="s">
        <v>604</v>
      </c>
      <c r="D61" s="44"/>
    </row>
    <row r="62" spans="3:4" ht="18" customHeight="1">
      <c r="C62" s="22" t="s">
        <v>605</v>
      </c>
      <c r="D62" s="44"/>
    </row>
  </sheetData>
  <conditionalFormatting sqref="D15">
    <cfRule type="expression" dxfId="56" priority="21">
      <formula>IF($D$11="Gaspool",1,0)</formula>
    </cfRule>
  </conditionalFormatting>
  <conditionalFormatting sqref="D16">
    <cfRule type="expression" dxfId="55" priority="18">
      <formula>IF($D$11="NCG",1,0)</formula>
    </cfRule>
  </conditionalFormatting>
  <conditionalFormatting sqref="D48:D62">
    <cfRule type="expression" dxfId="54" priority="17">
      <formula>IF(CELL("Zeile",D48)&lt;$D$46+CELL("Zeile",$D$48),1,0)</formula>
    </cfRule>
  </conditionalFormatting>
  <conditionalFormatting sqref="D49:D62">
    <cfRule type="expression" dxfId="53" priority="16">
      <formula>IF(CELL(D49)&lt;$D$36+27,1,0)</formula>
    </cfRule>
  </conditionalFormatting>
  <conditionalFormatting sqref="D23">
    <cfRule type="expression" dxfId="52" priority="15">
      <formula>IF($D$22=$H$22,1,0)</formula>
    </cfRule>
  </conditionalFormatting>
  <conditionalFormatting sqref="D31">
    <cfRule type="expression" dxfId="51" priority="4">
      <formula>IF($D$18="synthetisch",1,0)</formula>
    </cfRule>
  </conditionalFormatting>
  <conditionalFormatting sqref="D28">
    <cfRule type="expression" dxfId="50" priority="2">
      <formula>IF(AND($D$27=$I$27,$D$26=$H$26),1,0)</formula>
    </cfRule>
  </conditionalFormatting>
  <conditionalFormatting sqref="D26:D28">
    <cfRule type="expression" dxfId="49" priority="5">
      <formula>IF($D$18="analytisch",1,0)</formula>
    </cfRule>
  </conditionalFormatting>
  <conditionalFormatting sqref="D27">
    <cfRule type="expression" dxfId="48" priority="3">
      <formula>IF($D$26="nein",1)</formula>
    </cfRule>
  </conditionalFormatting>
  <conditionalFormatting sqref="D48">
    <cfRule type="expression" dxfId="47" priority="1">
      <formula>IF(CELL(D48)&lt;$D$36+27,1,0)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549</v>
      </c>
    </row>
    <row r="3" spans="1:56" ht="15" customHeight="1">
      <c r="B3" s="171"/>
    </row>
    <row r="4" spans="1:56">
      <c r="B4" s="130"/>
      <c r="C4" s="55" t="s">
        <v>448</v>
      </c>
      <c r="D4" s="56"/>
      <c r="E4" s="57" t="s">
        <v>490</v>
      </c>
      <c r="F4" s="130"/>
      <c r="M4" s="130"/>
      <c r="N4" s="130"/>
      <c r="O4" s="130"/>
    </row>
    <row r="5" spans="1:56">
      <c r="B5" s="130"/>
      <c r="C5" s="55" t="s">
        <v>447</v>
      </c>
      <c r="D5" s="56"/>
      <c r="E5" s="57" t="str">
        <f>Netzbetreiber!D28</f>
        <v>e-regio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491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527</v>
      </c>
      <c r="D9" s="130"/>
      <c r="E9" s="130"/>
      <c r="F9" s="154">
        <f>'SLP-Verfahren'!D46</f>
        <v>1</v>
      </c>
      <c r="H9" s="172" t="s">
        <v>606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590</v>
      </c>
      <c r="D10" s="130"/>
      <c r="E10" s="130"/>
      <c r="F10" s="298">
        <v>2</v>
      </c>
      <c r="G10" s="56"/>
      <c r="H10" s="172" t="s">
        <v>607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608</v>
      </c>
      <c r="D11" s="130"/>
      <c r="E11" s="130"/>
      <c r="F11" s="295">
        <f>INDEX('SLP-Verfahren'!D48:D62,'SLP-Temp-Gebiet #02'!F10)</f>
        <v>0</v>
      </c>
      <c r="G11" s="299"/>
      <c r="H11" s="297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2" t="s">
        <v>589</v>
      </c>
      <c r="D13" s="342"/>
      <c r="E13" s="342"/>
      <c r="F13" s="182" t="s">
        <v>553</v>
      </c>
      <c r="G13" s="130" t="s">
        <v>551</v>
      </c>
      <c r="H13" s="264" t="s">
        <v>568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43" t="s">
        <v>451</v>
      </c>
      <c r="D14" s="343"/>
      <c r="E14" s="89" t="s">
        <v>452</v>
      </c>
      <c r="F14" s="265" t="s">
        <v>84</v>
      </c>
      <c r="G14" s="266" t="s">
        <v>577</v>
      </c>
      <c r="H14" s="50">
        <v>0</v>
      </c>
      <c r="I14" s="56"/>
      <c r="J14" s="130"/>
      <c r="K14" s="130"/>
      <c r="L14" s="130"/>
      <c r="M14" s="130"/>
      <c r="N14" s="130"/>
      <c r="O14" s="173" t="s">
        <v>532</v>
      </c>
      <c r="R14" s="208" t="s">
        <v>569</v>
      </c>
      <c r="S14" s="208" t="s">
        <v>570</v>
      </c>
      <c r="T14" s="208" t="s">
        <v>571</v>
      </c>
      <c r="U14" s="208" t="s">
        <v>572</v>
      </c>
      <c r="V14" s="208" t="s">
        <v>552</v>
      </c>
      <c r="W14" s="208" t="s">
        <v>573</v>
      </c>
      <c r="X14" s="208" t="s">
        <v>574</v>
      </c>
      <c r="Y14" s="208" t="s">
        <v>575</v>
      </c>
      <c r="Z14" s="208" t="s">
        <v>576</v>
      </c>
      <c r="AA14" s="208" t="s">
        <v>577</v>
      </c>
      <c r="AB14" s="208" t="s">
        <v>578</v>
      </c>
      <c r="AC14" s="208" t="s">
        <v>579</v>
      </c>
    </row>
    <row r="15" spans="1:56" ht="19.5" customHeight="1">
      <c r="B15" s="130"/>
      <c r="C15" s="343" t="s">
        <v>388</v>
      </c>
      <c r="D15" s="343"/>
      <c r="E15" s="89" t="s">
        <v>452</v>
      </c>
      <c r="F15" s="265" t="s">
        <v>70</v>
      </c>
      <c r="G15" s="266" t="s">
        <v>571</v>
      </c>
      <c r="H15" s="50">
        <v>0</v>
      </c>
      <c r="I15" s="56"/>
      <c r="J15" s="130"/>
      <c r="K15" s="130"/>
      <c r="L15" s="130"/>
      <c r="M15" s="130"/>
      <c r="N15" s="130"/>
      <c r="O15" s="161" t="s">
        <v>533</v>
      </c>
      <c r="R15" s="263" t="s">
        <v>70</v>
      </c>
      <c r="S15" s="263" t="s">
        <v>71</v>
      </c>
      <c r="T15" s="263" t="s">
        <v>72</v>
      </c>
      <c r="U15" s="263" t="s">
        <v>73</v>
      </c>
      <c r="V15" s="263" t="s">
        <v>74</v>
      </c>
      <c r="W15" s="263" t="s">
        <v>75</v>
      </c>
      <c r="X15" s="263" t="s">
        <v>76</v>
      </c>
      <c r="Y15" s="263" t="s">
        <v>77</v>
      </c>
      <c r="Z15" s="263" t="s">
        <v>78</v>
      </c>
      <c r="AA15" s="263" t="s">
        <v>79</v>
      </c>
      <c r="AB15" s="263" t="s">
        <v>80</v>
      </c>
      <c r="AC15" s="263" t="s">
        <v>81</v>
      </c>
      <c r="AD15" s="263" t="s">
        <v>82</v>
      </c>
      <c r="AE15" s="263" t="s">
        <v>83</v>
      </c>
      <c r="AF15" s="263" t="s">
        <v>84</v>
      </c>
      <c r="AG15" s="263" t="s">
        <v>371</v>
      </c>
      <c r="AH15" s="263" t="s">
        <v>497</v>
      </c>
      <c r="AI15" s="263" t="s">
        <v>554</v>
      </c>
      <c r="AJ15" s="263" t="s">
        <v>555</v>
      </c>
      <c r="AK15" s="263" t="s">
        <v>556</v>
      </c>
      <c r="AL15" s="263" t="s">
        <v>557</v>
      </c>
      <c r="AM15" s="263" t="s">
        <v>558</v>
      </c>
      <c r="AN15" s="263" t="s">
        <v>559</v>
      </c>
      <c r="AO15" s="263" t="s">
        <v>560</v>
      </c>
      <c r="AP15" s="263" t="s">
        <v>561</v>
      </c>
      <c r="AQ15" s="263" t="s">
        <v>562</v>
      </c>
      <c r="AR15" s="263" t="s">
        <v>563</v>
      </c>
      <c r="AS15" s="263" t="s">
        <v>564</v>
      </c>
      <c r="AT15" s="263" t="s">
        <v>565</v>
      </c>
      <c r="AU15" s="263" t="s">
        <v>566</v>
      </c>
      <c r="AV15" s="263" t="s">
        <v>567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30"/>
      <c r="C16" s="174"/>
      <c r="D16" s="300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522</v>
      </c>
      <c r="C17" s="176"/>
      <c r="D17" s="30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5" t="s">
        <v>528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523</v>
      </c>
      <c r="D20" s="179" t="s">
        <v>519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530</v>
      </c>
      <c r="D21" s="153" t="s">
        <v>521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542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508</v>
      </c>
      <c r="T23" s="29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525</v>
      </c>
      <c r="D24" s="187"/>
      <c r="E24" s="156" t="s">
        <v>586</v>
      </c>
      <c r="F24" s="156" t="s">
        <v>587</v>
      </c>
      <c r="G24" s="156"/>
      <c r="H24" s="156"/>
      <c r="I24" s="156"/>
      <c r="J24" s="156"/>
      <c r="K24" s="156"/>
      <c r="L24" s="156"/>
      <c r="M24" s="156"/>
      <c r="N24" s="156"/>
      <c r="O24" s="184" t="s">
        <v>526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520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509</v>
      </c>
      <c r="F26" s="156" t="s">
        <v>509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509</v>
      </c>
      <c r="S26" s="67" t="s">
        <v>510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524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531</v>
      </c>
      <c r="D31" s="185" t="s">
        <v>254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538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517</v>
      </c>
      <c r="F34" s="156" t="s">
        <v>517</v>
      </c>
      <c r="G34" s="156" t="s">
        <v>517</v>
      </c>
      <c r="H34" s="156" t="s">
        <v>517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517</v>
      </c>
      <c r="S34" s="67" t="s">
        <v>518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610</v>
      </c>
      <c r="D35" s="153" t="s">
        <v>611</v>
      </c>
      <c r="E35" s="156" t="s">
        <v>609</v>
      </c>
      <c r="F35" s="156" t="s">
        <v>609</v>
      </c>
      <c r="G35" s="156" t="s">
        <v>609</v>
      </c>
      <c r="H35" s="156" t="s">
        <v>609</v>
      </c>
      <c r="I35" s="156" t="s">
        <v>609</v>
      </c>
      <c r="J35" s="156" t="s">
        <v>609</v>
      </c>
      <c r="K35" s="156" t="s">
        <v>609</v>
      </c>
      <c r="L35" s="156" t="s">
        <v>609</v>
      </c>
      <c r="M35" s="156" t="s">
        <v>609</v>
      </c>
      <c r="N35" s="156" t="s">
        <v>609</v>
      </c>
      <c r="O35" s="184" t="s">
        <v>141</v>
      </c>
      <c r="Q35" s="210"/>
      <c r="R35" s="67" t="s">
        <v>609</v>
      </c>
      <c r="S35" s="67" t="s">
        <v>612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543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536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537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529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535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540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541</v>
      </c>
      <c r="D46" s="200" t="s">
        <v>539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539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584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5" t="s">
        <v>548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523</v>
      </c>
      <c r="D54" s="179" t="s">
        <v>519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530</v>
      </c>
      <c r="D55" s="153" t="s">
        <v>521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542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525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526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520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524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531</v>
      </c>
      <c r="D65" s="185" t="s">
        <v>254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538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144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610</v>
      </c>
      <c r="D69" s="153" t="s">
        <v>611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446</v>
      </c>
      <c r="D70" s="119" t="s">
        <v>543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4" t="s">
        <v>585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6" priority="18">
      <formula>IF(E$20&lt;=$F$18,1,0)</formula>
    </cfRule>
  </conditionalFormatting>
  <conditionalFormatting sqref="E32:N36">
    <cfRule type="expression" dxfId="45" priority="17">
      <formula>IF(E$30&lt;=$F$28,1,0)</formula>
    </cfRule>
  </conditionalFormatting>
  <conditionalFormatting sqref="E26:F26">
    <cfRule type="expression" dxfId="44" priority="16">
      <formula>IF(E$20&lt;=$F$18,1,0)</formula>
    </cfRule>
  </conditionalFormatting>
  <conditionalFormatting sqref="E26:N26">
    <cfRule type="expression" dxfId="43" priority="15">
      <formula>IF(E$20&lt;=$F$18,1,0)</formula>
    </cfRule>
  </conditionalFormatting>
  <conditionalFormatting sqref="E56:N59">
    <cfRule type="expression" dxfId="42" priority="14">
      <formula>IF(E$54&lt;=$F$52,1,0)</formula>
    </cfRule>
  </conditionalFormatting>
  <conditionalFormatting sqref="E60:N60">
    <cfRule type="expression" dxfId="41" priority="13">
      <formula>IF(E$54&lt;=$F$52,1,0)</formula>
    </cfRule>
  </conditionalFormatting>
  <conditionalFormatting sqref="E66:N68">
    <cfRule type="expression" dxfId="40" priority="12">
      <formula>IF(E$64&lt;=$F$62,1,0)</formula>
    </cfRule>
  </conditionalFormatting>
  <conditionalFormatting sqref="E65:N68 E70:N70">
    <cfRule type="expression" dxfId="39" priority="11">
      <formula>IF(E$64&gt;$F$62,1,0)</formula>
    </cfRule>
  </conditionalFormatting>
  <conditionalFormatting sqref="E56:N60">
    <cfRule type="expression" dxfId="38" priority="10">
      <formula>IF(E$54&gt;$F$52,1,0)</formula>
    </cfRule>
  </conditionalFormatting>
  <conditionalFormatting sqref="E21:N26">
    <cfRule type="expression" dxfId="37" priority="9">
      <formula>IF(E$20&gt;$F$18,1,0)</formula>
    </cfRule>
  </conditionalFormatting>
  <conditionalFormatting sqref="E32:N36">
    <cfRule type="expression" dxfId="36" priority="8">
      <formula>IF(E$30&gt;$F$28,1,0)</formula>
    </cfRule>
  </conditionalFormatting>
  <conditionalFormatting sqref="H11 H8:H9">
    <cfRule type="expression" dxfId="35" priority="7">
      <formula>IF($F$9=1,1,0)</formula>
    </cfRule>
  </conditionalFormatting>
  <conditionalFormatting sqref="E55:N55">
    <cfRule type="expression" dxfId="34" priority="6">
      <formula>IF(E$54&gt;$F$52,1,0)</formula>
    </cfRule>
  </conditionalFormatting>
  <conditionalFormatting sqref="E31:N31">
    <cfRule type="expression" dxfId="33" priority="5">
      <formula>IF(E$30&gt;$F$28,1,0)</formula>
    </cfRule>
  </conditionalFormatting>
  <conditionalFormatting sqref="E70:N70">
    <cfRule type="expression" dxfId="32" priority="4">
      <formula>IF(E$64&lt;=$F$62,1,0)</formula>
    </cfRule>
  </conditionalFormatting>
  <conditionalFormatting sqref="H10">
    <cfRule type="expression" dxfId="31" priority="3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E5" sqref="E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7.28515625" style="128" customWidth="1"/>
    <col min="6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549</v>
      </c>
    </row>
    <row r="3" spans="1:56" ht="15" customHeight="1">
      <c r="B3" s="171"/>
    </row>
    <row r="4" spans="1:56">
      <c r="B4" s="130"/>
      <c r="C4" s="55" t="s">
        <v>448</v>
      </c>
      <c r="D4" s="56"/>
      <c r="E4" s="57" t="s">
        <v>676</v>
      </c>
      <c r="F4" s="130"/>
      <c r="M4" s="130"/>
      <c r="N4" s="130"/>
      <c r="O4" s="130"/>
    </row>
    <row r="5" spans="1:56">
      <c r="B5" s="130"/>
      <c r="C5" s="55" t="s">
        <v>447</v>
      </c>
      <c r="D5" s="56"/>
      <c r="E5" s="57" t="str">
        <f>Netzbetreiber!D28</f>
        <v>e-regio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491</v>
      </c>
      <c r="D6" s="56"/>
      <c r="E6" s="340">
        <f>Netzbetreiber!$D$11</f>
        <v>987011300009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527</v>
      </c>
      <c r="D9" s="130"/>
      <c r="E9" s="130"/>
      <c r="F9" s="154">
        <f>'SLP-Verfahren'!D46</f>
        <v>1</v>
      </c>
      <c r="H9" s="172" t="s">
        <v>606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590</v>
      </c>
      <c r="D10" s="130"/>
      <c r="E10" s="130"/>
      <c r="F10" s="298">
        <v>1</v>
      </c>
      <c r="G10" s="56"/>
      <c r="H10" s="172" t="s">
        <v>607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608</v>
      </c>
      <c r="D11" s="130"/>
      <c r="E11" s="130"/>
      <c r="F11" s="295" t="str">
        <f>INDEX('SLP-Verfahren'!D48:D62,'SLP-Temp-Gebiet Weilerswist-Lom'!F10)</f>
        <v>Weilerswist-Lommersum</v>
      </c>
      <c r="G11" s="299"/>
      <c r="H11" s="297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2" t="s">
        <v>589</v>
      </c>
      <c r="D13" s="342"/>
      <c r="E13" s="342"/>
      <c r="F13" s="182" t="s">
        <v>553</v>
      </c>
      <c r="G13" s="130" t="s">
        <v>551</v>
      </c>
      <c r="H13" s="264" t="s">
        <v>568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43" t="s">
        <v>451</v>
      </c>
      <c r="D14" s="343"/>
      <c r="E14" s="89" t="s">
        <v>452</v>
      </c>
      <c r="F14" s="265" t="s">
        <v>84</v>
      </c>
      <c r="G14" s="266" t="s">
        <v>577</v>
      </c>
      <c r="H14" s="50">
        <v>0</v>
      </c>
      <c r="I14" s="56"/>
      <c r="J14" s="130"/>
      <c r="K14" s="130"/>
      <c r="L14" s="130"/>
      <c r="M14" s="130"/>
      <c r="N14" s="130"/>
      <c r="O14" s="173" t="s">
        <v>532</v>
      </c>
      <c r="R14" s="208" t="s">
        <v>569</v>
      </c>
      <c r="S14" s="208" t="s">
        <v>570</v>
      </c>
      <c r="T14" s="208" t="s">
        <v>571</v>
      </c>
      <c r="U14" s="208" t="s">
        <v>572</v>
      </c>
      <c r="V14" s="208" t="s">
        <v>552</v>
      </c>
      <c r="W14" s="208" t="s">
        <v>573</v>
      </c>
      <c r="X14" s="208" t="s">
        <v>574</v>
      </c>
      <c r="Y14" s="208" t="s">
        <v>575</v>
      </c>
      <c r="Z14" s="208" t="s">
        <v>576</v>
      </c>
      <c r="AA14" s="208" t="s">
        <v>577</v>
      </c>
      <c r="AB14" s="208" t="s">
        <v>578</v>
      </c>
      <c r="AC14" s="208" t="s">
        <v>579</v>
      </c>
    </row>
    <row r="15" spans="1:56" ht="19.5" customHeight="1">
      <c r="B15" s="130"/>
      <c r="C15" s="343" t="s">
        <v>388</v>
      </c>
      <c r="D15" s="343"/>
      <c r="E15" s="89" t="s">
        <v>452</v>
      </c>
      <c r="F15" s="265" t="s">
        <v>70</v>
      </c>
      <c r="G15" s="266" t="s">
        <v>571</v>
      </c>
      <c r="H15" s="50">
        <v>0</v>
      </c>
      <c r="I15" s="56"/>
      <c r="J15" s="130"/>
      <c r="K15" s="130"/>
      <c r="L15" s="130"/>
      <c r="M15" s="130"/>
      <c r="N15" s="130"/>
      <c r="O15" s="161" t="s">
        <v>533</v>
      </c>
      <c r="R15" s="263" t="s">
        <v>70</v>
      </c>
      <c r="S15" s="263" t="s">
        <v>71</v>
      </c>
      <c r="T15" s="263" t="s">
        <v>72</v>
      </c>
      <c r="U15" s="263" t="s">
        <v>73</v>
      </c>
      <c r="V15" s="263" t="s">
        <v>74</v>
      </c>
      <c r="W15" s="263" t="s">
        <v>75</v>
      </c>
      <c r="X15" s="263" t="s">
        <v>76</v>
      </c>
      <c r="Y15" s="263" t="s">
        <v>77</v>
      </c>
      <c r="Z15" s="263" t="s">
        <v>78</v>
      </c>
      <c r="AA15" s="263" t="s">
        <v>79</v>
      </c>
      <c r="AB15" s="263" t="s">
        <v>80</v>
      </c>
      <c r="AC15" s="263" t="s">
        <v>81</v>
      </c>
      <c r="AD15" s="263" t="s">
        <v>82</v>
      </c>
      <c r="AE15" s="263" t="s">
        <v>83</v>
      </c>
      <c r="AF15" s="263" t="s">
        <v>84</v>
      </c>
      <c r="AG15" s="263" t="s">
        <v>371</v>
      </c>
      <c r="AH15" s="263" t="s">
        <v>497</v>
      </c>
      <c r="AI15" s="263" t="s">
        <v>554</v>
      </c>
      <c r="AJ15" s="263" t="s">
        <v>555</v>
      </c>
      <c r="AK15" s="263" t="s">
        <v>556</v>
      </c>
      <c r="AL15" s="263" t="s">
        <v>557</v>
      </c>
      <c r="AM15" s="263" t="s">
        <v>558</v>
      </c>
      <c r="AN15" s="263" t="s">
        <v>559</v>
      </c>
      <c r="AO15" s="263" t="s">
        <v>560</v>
      </c>
      <c r="AP15" s="263" t="s">
        <v>561</v>
      </c>
      <c r="AQ15" s="263" t="s">
        <v>562</v>
      </c>
      <c r="AR15" s="263" t="s">
        <v>563</v>
      </c>
      <c r="AS15" s="263" t="s">
        <v>564</v>
      </c>
      <c r="AT15" s="263" t="s">
        <v>565</v>
      </c>
      <c r="AU15" s="263" t="s">
        <v>566</v>
      </c>
      <c r="AV15" s="263" t="s">
        <v>567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30"/>
      <c r="C16" s="174"/>
      <c r="D16" s="338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522</v>
      </c>
      <c r="C17" s="176"/>
      <c r="D17" s="33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5" t="s">
        <v>528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523</v>
      </c>
      <c r="D20" s="179" t="s">
        <v>519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530</v>
      </c>
      <c r="D21" s="153" t="s">
        <v>521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542</v>
      </c>
      <c r="D22" s="185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508</v>
      </c>
      <c r="F23" s="156" t="s">
        <v>508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508</v>
      </c>
      <c r="T23" s="29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525</v>
      </c>
      <c r="D24" s="187"/>
      <c r="E24" s="156" t="s">
        <v>660</v>
      </c>
      <c r="F24" s="156" t="s">
        <v>587</v>
      </c>
      <c r="G24" s="156"/>
      <c r="H24" s="156"/>
      <c r="I24" s="156"/>
      <c r="J24" s="156"/>
      <c r="K24" s="156"/>
      <c r="L24" s="156"/>
      <c r="M24" s="156"/>
      <c r="N24" s="156"/>
      <c r="O24" s="184" t="s">
        <v>526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520</v>
      </c>
      <c r="D25" s="187"/>
      <c r="E25" s="160">
        <v>191149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509</v>
      </c>
      <c r="F26" s="156" t="s">
        <v>509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509</v>
      </c>
      <c r="S26" s="67" t="s">
        <v>510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524</v>
      </c>
      <c r="D28" s="130"/>
      <c r="E28" s="130"/>
      <c r="F28" s="48">
        <v>1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0</v>
      </c>
      <c r="G29" s="177">
        <f t="shared" si="2"/>
        <v>0</v>
      </c>
      <c r="H29" s="177">
        <f t="shared" si="2"/>
        <v>0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531</v>
      </c>
      <c r="D31" s="185" t="s">
        <v>254</v>
      </c>
      <c r="E31" s="286">
        <f>1-SUMPRODUCT(F29:N29,F31:N31)</f>
        <v>1</v>
      </c>
      <c r="F31" s="286">
        <f>ROUND(F32/$D$32,4)</f>
        <v>0.5</v>
      </c>
      <c r="G31" s="286">
        <f t="shared" ref="G31:N31" si="3">ROUND(G32/$D$32,4)</f>
        <v>0.25</v>
      </c>
      <c r="H31" s="286">
        <f t="shared" si="3"/>
        <v>0.125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538</v>
      </c>
      <c r="D32" s="292">
        <f>SUMPRODUCT(E32:N32,E29:N29)</f>
        <v>1</v>
      </c>
      <c r="E32" s="287">
        <v>1</v>
      </c>
      <c r="F32" s="287">
        <v>0.5</v>
      </c>
      <c r="G32" s="287">
        <v>0.25</v>
      </c>
      <c r="H32" s="287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517</v>
      </c>
      <c r="F34" s="156" t="s">
        <v>517</v>
      </c>
      <c r="G34" s="156" t="s">
        <v>517</v>
      </c>
      <c r="H34" s="156" t="s">
        <v>517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517</v>
      </c>
      <c r="S34" s="67" t="s">
        <v>518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610</v>
      </c>
      <c r="D35" s="153" t="s">
        <v>611</v>
      </c>
      <c r="E35" s="156" t="s">
        <v>609</v>
      </c>
      <c r="F35" s="156" t="s">
        <v>609</v>
      </c>
      <c r="G35" s="156" t="s">
        <v>609</v>
      </c>
      <c r="H35" s="156" t="s">
        <v>609</v>
      </c>
      <c r="I35" s="156" t="s">
        <v>609</v>
      </c>
      <c r="J35" s="156" t="s">
        <v>609</v>
      </c>
      <c r="K35" s="156" t="s">
        <v>609</v>
      </c>
      <c r="L35" s="156" t="s">
        <v>609</v>
      </c>
      <c r="M35" s="156" t="s">
        <v>609</v>
      </c>
      <c r="N35" s="156" t="s">
        <v>609</v>
      </c>
      <c r="O35" s="184" t="s">
        <v>141</v>
      </c>
      <c r="Q35" s="210"/>
      <c r="R35" s="67" t="s">
        <v>609</v>
      </c>
      <c r="S35" s="67" t="s">
        <v>612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543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536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537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529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535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540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541</v>
      </c>
      <c r="D46" s="200" t="s">
        <v>539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539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584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5" t="s">
        <v>548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523</v>
      </c>
      <c r="D54" s="179" t="s">
        <v>519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530</v>
      </c>
      <c r="D55" s="153" t="s">
        <v>521</v>
      </c>
      <c r="E55" s="286">
        <f>1-SUMPRODUCT(F53:N53,F55:N55)</f>
        <v>1</v>
      </c>
      <c r="F55" s="286">
        <f>ROUND(F56/$D$56,4)</f>
        <v>1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542</v>
      </c>
      <c r="D56" s="185">
        <f>SUMPRODUCT(E56:N56,E53:N53)</f>
        <v>1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MeteoGroup</v>
      </c>
      <c r="F57" s="156" t="str">
        <f t="shared" si="6"/>
        <v>MeteoGroup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525</v>
      </c>
      <c r="D58" s="187"/>
      <c r="E58" s="156" t="str">
        <f>E24</f>
        <v>Weilerswist-Lommersum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526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520</v>
      </c>
      <c r="D59" s="187"/>
      <c r="E59" s="160">
        <f>E25</f>
        <v>191149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524</v>
      </c>
      <c r="D62" s="130"/>
      <c r="E62" s="130"/>
      <c r="F62" s="157">
        <f>F28</f>
        <v>1</v>
      </c>
    </row>
    <row r="63" spans="2:28" ht="15" customHeight="1">
      <c r="E63" s="177">
        <f>IF(E64&gt;$F$62,0,1)</f>
        <v>1</v>
      </c>
      <c r="F63" s="177">
        <f t="shared" ref="F63:N63" si="7">IF(F64&gt;$F$62,0,1)</f>
        <v>0</v>
      </c>
      <c r="G63" s="177">
        <f t="shared" si="7"/>
        <v>0</v>
      </c>
      <c r="H63" s="177">
        <f t="shared" si="7"/>
        <v>0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531</v>
      </c>
      <c r="D65" s="185" t="s">
        <v>254</v>
      </c>
      <c r="E65" s="286">
        <f>1-SUMPRODUCT(F63:N63,F65:N65)</f>
        <v>1</v>
      </c>
      <c r="F65" s="286">
        <f>ROUND(F66/$D$66,4)</f>
        <v>0.5</v>
      </c>
      <c r="G65" s="286">
        <f t="shared" ref="G65:N65" si="8">ROUND(G66/$D$66,4)</f>
        <v>0.25</v>
      </c>
      <c r="H65" s="286">
        <f t="shared" si="8"/>
        <v>0.125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538</v>
      </c>
      <c r="D66" s="185">
        <f>SUMPRODUCT(E66:N66,E63:N63)</f>
        <v>1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144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610</v>
      </c>
      <c r="D69" s="153" t="s">
        <v>611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446</v>
      </c>
      <c r="D70" s="119" t="s">
        <v>543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4" t="s">
        <v>585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8.2851562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370</v>
      </c>
      <c r="D5" s="53" t="str">
        <f>Netzbetreiber!$D$9</f>
        <v>e-regio GmbH &amp; Co. KG</v>
      </c>
      <c r="E5" s="130"/>
      <c r="H5" s="88" t="s">
        <v>501</v>
      </c>
      <c r="I5" s="131" t="s">
        <v>504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337</v>
      </c>
      <c r="D6" s="53" t="str">
        <f>Netzbetreiber!$D$28</f>
        <v>e-regio</v>
      </c>
      <c r="E6" s="130"/>
      <c r="F6" s="130"/>
      <c r="I6" s="131" t="s">
        <v>514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491</v>
      </c>
      <c r="D7" s="341">
        <f>Netzbetreiber!$D$11</f>
        <v>987011300009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51">
        <f>Netzbetreiber!$D$6</f>
        <v>42278</v>
      </c>
      <c r="E8" s="130"/>
      <c r="F8" s="130"/>
      <c r="H8" s="128" t="s">
        <v>499</v>
      </c>
      <c r="J8" s="132">
        <v>12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498</v>
      </c>
      <c r="D10" s="134" t="s">
        <v>146</v>
      </c>
      <c r="E10" s="276" t="s">
        <v>516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640</v>
      </c>
      <c r="M10" s="150" t="s">
        <v>649</v>
      </c>
      <c r="N10" s="151" t="s">
        <v>650</v>
      </c>
      <c r="O10" s="151" t="s">
        <v>651</v>
      </c>
      <c r="P10" s="152" t="s">
        <v>652</v>
      </c>
      <c r="Q10" s="146" t="s">
        <v>641</v>
      </c>
      <c r="R10" s="136" t="s">
        <v>642</v>
      </c>
      <c r="S10" s="137" t="s">
        <v>643</v>
      </c>
      <c r="T10" s="137" t="s">
        <v>644</v>
      </c>
      <c r="U10" s="137" t="s">
        <v>645</v>
      </c>
      <c r="V10" s="137" t="s">
        <v>646</v>
      </c>
      <c r="W10" s="137" t="s">
        <v>647</v>
      </c>
      <c r="X10" s="138" t="s">
        <v>648</v>
      </c>
      <c r="Y10" s="304" t="s">
        <v>653</v>
      </c>
    </row>
    <row r="11" spans="2:26" ht="15.75" thickBot="1">
      <c r="B11" s="139" t="s">
        <v>500</v>
      </c>
      <c r="C11" s="140" t="s">
        <v>515</v>
      </c>
      <c r="D11" s="303" t="s">
        <v>247</v>
      </c>
      <c r="E11" s="164" t="s">
        <v>664</v>
      </c>
      <c r="F11" s="305" t="str">
        <f>VLOOKUP($E11,'BDEW-Standard'!$B$3:$M$158,F$9,0)</f>
        <v>KO4</v>
      </c>
      <c r="H11" s="167">
        <f>ROUND(VLOOKUP($E11,'BDEW-Standard'!$B$3:$M$158,H$9,0),7)</f>
        <v>3.4428942999999999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7.4685000000000001E-2</v>
      </c>
      <c r="L11" s="213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2">
        <f>($H11/(1+($I11/($Q$9-$L11))^$J11)+$K11)+MAX($M11*$Q$9+$N11,$O11*$Q$9+$P11)</f>
        <v>0.97768382110526542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1">
        <v>365.12299999999999</v>
      </c>
    </row>
    <row r="12" spans="2:26">
      <c r="B12" s="141">
        <v>1</v>
      </c>
      <c r="C12" s="142" t="str">
        <f t="shared" ref="C12:C41" si="0">$D$6</f>
        <v>e-regio</v>
      </c>
      <c r="D12" s="62" t="s">
        <v>247</v>
      </c>
      <c r="E12" s="165" t="s">
        <v>661</v>
      </c>
      <c r="F12" s="306" t="str">
        <f>VLOOKUP($E12,'BDEW-Standard'!$B$3:$M$94,F$9,0)</f>
        <v>D14</v>
      </c>
      <c r="H12" s="277">
        <f>ROUND(VLOOKUP($E12,'BDEW-Standard'!$B$3:$M$94,H$9,0),7)</f>
        <v>3.1850190999999999</v>
      </c>
      <c r="I12" s="277">
        <f>ROUND(VLOOKUP($E12,'BDEW-Standard'!$B$3:$M$94,I$9,0),7)</f>
        <v>-37.412415500000002</v>
      </c>
      <c r="J12" s="277">
        <f>ROUND(VLOOKUP($E12,'BDEW-Standard'!$B$3:$M$94,J$9,0),7)</f>
        <v>6.1723179000000004</v>
      </c>
      <c r="K12" s="277">
        <f>ROUND(VLOOKUP($E12,'BDEW-Standard'!$B$3:$M$94,K$9,0),7)</f>
        <v>7.6109599999999999E-2</v>
      </c>
      <c r="L12" s="278">
        <f>ROUND(VLOOKUP($E12,'BDEW-Standard'!$B$3:$M$94,L$9,0),1)</f>
        <v>40</v>
      </c>
      <c r="M12" s="277">
        <f>ROUND(VLOOKUP($E12,'BDEW-Standard'!$B$3:$M$94,M$9,0),7)</f>
        <v>0</v>
      </c>
      <c r="N12" s="277">
        <f>ROUND(VLOOKUP($E12,'BDEW-Standard'!$B$3:$M$94,N$9,0),7)</f>
        <v>0</v>
      </c>
      <c r="O12" s="277">
        <f>ROUND(VLOOKUP($E12,'BDEW-Standard'!$B$3:$M$94,O$9,0),7)</f>
        <v>0</v>
      </c>
      <c r="P12" s="277">
        <f>ROUND(VLOOKUP($E12,'BDEW-Standard'!$B$3:$M$94,P$9,0),7)</f>
        <v>0</v>
      </c>
      <c r="Q12" s="279">
        <f t="shared" ref="Q12:Q26" si="1">($H12/(1+($I12/($Q$9-$L12))^$J12)+$K12)+MAX($M12*$Q$9+$N12,$O12*$Q$9+$P12)</f>
        <v>0.95508749343949439</v>
      </c>
      <c r="R12" s="280">
        <f>ROUND(VLOOKUP(MID($E12,4,3),'Wochentag F(WT)'!$B$7:$J$22,R$9,0),4)</f>
        <v>1</v>
      </c>
      <c r="S12" s="280">
        <f>ROUND(VLOOKUP(MID($E12,4,3),'Wochentag F(WT)'!$B$7:$J$22,S$9,0),4)</f>
        <v>1</v>
      </c>
      <c r="T12" s="280">
        <f>ROUND(VLOOKUP(MID($E12,4,3),'Wochentag F(WT)'!$B$7:$J$22,T$9,0),4)</f>
        <v>1</v>
      </c>
      <c r="U12" s="280">
        <f>ROUND(VLOOKUP(MID($E12,4,3),'Wochentag F(WT)'!$B$7:$J$22,U$9,0),4)</f>
        <v>1</v>
      </c>
      <c r="V12" s="280">
        <f>ROUND(VLOOKUP(MID($E12,4,3),'Wochentag F(WT)'!$B$7:$J$22,V$9,0),4)</f>
        <v>1</v>
      </c>
      <c r="W12" s="280">
        <f>ROUND(VLOOKUP(MID($E12,4,3),'Wochentag F(WT)'!$B$7:$J$22,W$9,0),4)</f>
        <v>1</v>
      </c>
      <c r="X12" s="281">
        <f>7-SUM(R12:W12)</f>
        <v>1</v>
      </c>
      <c r="Y12" s="302"/>
      <c r="Z12" s="211"/>
    </row>
    <row r="13" spans="2:26" s="143" customFormat="1">
      <c r="B13" s="144">
        <v>2</v>
      </c>
      <c r="C13" s="145" t="str">
        <f t="shared" si="0"/>
        <v>e-regio</v>
      </c>
      <c r="D13" s="62" t="s">
        <v>247</v>
      </c>
      <c r="E13" s="165" t="s">
        <v>662</v>
      </c>
      <c r="F13" s="306" t="str">
        <f>VLOOKUP($E13,'BDEW-Standard'!$B$3:$M$94,F$9,0)</f>
        <v>GA4</v>
      </c>
      <c r="H13" s="277">
        <f>ROUND(VLOOKUP($E13,'BDEW-Standard'!$B$3:$M$94,H$9,0),7)</f>
        <v>2.8195655999999998</v>
      </c>
      <c r="I13" s="277">
        <f>ROUND(VLOOKUP($E13,'BDEW-Standard'!$B$3:$M$94,I$9,0),7)</f>
        <v>-36</v>
      </c>
      <c r="J13" s="277">
        <f>ROUND(VLOOKUP($E13,'BDEW-Standard'!$B$3:$M$94,J$9,0),7)</f>
        <v>7.7368518000000002</v>
      </c>
      <c r="K13" s="277">
        <f>ROUND(VLOOKUP($E13,'BDEW-Standard'!$B$3:$M$94,K$9,0),7)</f>
        <v>0.157281</v>
      </c>
      <c r="L13" s="278">
        <f>ROUND(VLOOKUP($E13,'BDEW-Standard'!$B$3:$M$94,L$9,0),1)</f>
        <v>40</v>
      </c>
      <c r="M13" s="277">
        <f>ROUND(VLOOKUP($E13,'BDEW-Standard'!$B$3:$M$94,M$9,0),7)</f>
        <v>0</v>
      </c>
      <c r="N13" s="277">
        <f>ROUND(VLOOKUP($E13,'BDEW-Standard'!$B$3:$M$94,N$9,0),7)</f>
        <v>0</v>
      </c>
      <c r="O13" s="277">
        <f>ROUND(VLOOKUP($E13,'BDEW-Standard'!$B$3:$M$94,O$9,0),7)</f>
        <v>0</v>
      </c>
      <c r="P13" s="277">
        <f>ROUND(VLOOKUP($E13,'BDEW-Standard'!$B$3:$M$94,P$9,0),7)</f>
        <v>0</v>
      </c>
      <c r="Q13" s="279">
        <f t="shared" si="1"/>
        <v>0.96576337685759206</v>
      </c>
      <c r="R13" s="280">
        <f>ROUND(VLOOKUP(MID($E13,4,3),'Wochentag F(WT)'!$B$7:$J$22,R$9,0),4)</f>
        <v>0.93220000000000003</v>
      </c>
      <c r="S13" s="280">
        <f>ROUND(VLOOKUP(MID($E13,4,3),'Wochentag F(WT)'!$B$7:$J$22,S$9,0),4)</f>
        <v>0.98939999999999995</v>
      </c>
      <c r="T13" s="280">
        <f>ROUND(VLOOKUP(MID($E13,4,3),'Wochentag F(WT)'!$B$7:$J$22,T$9,0),4)</f>
        <v>1.0033000000000001</v>
      </c>
      <c r="U13" s="280">
        <f>ROUND(VLOOKUP(MID($E13,4,3),'Wochentag F(WT)'!$B$7:$J$22,U$9,0),4)</f>
        <v>1.0108999999999999</v>
      </c>
      <c r="V13" s="280">
        <f>ROUND(VLOOKUP(MID($E13,4,3),'Wochentag F(WT)'!$B$7:$J$22,V$9,0),4)</f>
        <v>1.018</v>
      </c>
      <c r="W13" s="280">
        <f>ROUND(VLOOKUP(MID($E13,4,3),'Wochentag F(WT)'!$B$7:$J$22,W$9,0),4)</f>
        <v>1.0356000000000001</v>
      </c>
      <c r="X13" s="281">
        <f t="shared" ref="X13:X26" si="2">7-SUM(R13:W13)</f>
        <v>1.0106000000000002</v>
      </c>
      <c r="Y13" s="302"/>
      <c r="Z13" s="211"/>
    </row>
    <row r="14" spans="2:26" s="143" customFormat="1">
      <c r="B14" s="144">
        <v>3</v>
      </c>
      <c r="C14" s="145" t="str">
        <f t="shared" si="0"/>
        <v>e-regio</v>
      </c>
      <c r="D14" s="62" t="s">
        <v>247</v>
      </c>
      <c r="E14" s="165" t="s">
        <v>663</v>
      </c>
      <c r="F14" s="306" t="str">
        <f>VLOOKUP($E14,'BDEW-Standard'!$B$3:$M$94,F$9,0)</f>
        <v>D24</v>
      </c>
      <c r="H14" s="277">
        <f>ROUND(VLOOKUP($E14,'BDEW-Standard'!$B$3:$M$94,H$9,0),7)</f>
        <v>2.5187775000000001</v>
      </c>
      <c r="I14" s="277">
        <f>ROUND(VLOOKUP($E14,'BDEW-Standard'!$B$3:$M$94,I$9,0),7)</f>
        <v>-35.033375399999997</v>
      </c>
      <c r="J14" s="277">
        <f>ROUND(VLOOKUP($E14,'BDEW-Standard'!$B$3:$M$94,J$9,0),7)</f>
        <v>6.2240634000000004</v>
      </c>
      <c r="K14" s="277">
        <f>ROUND(VLOOKUP($E14,'BDEW-Standard'!$B$3:$M$94,K$9,0),7)</f>
        <v>0.10107820000000001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1.0146273685996503</v>
      </c>
      <c r="R14" s="280">
        <f>ROUND(VLOOKUP(MID($E14,4,3),'Wochentag F(WT)'!$B$7:$J$22,R$9,0),4)</f>
        <v>1</v>
      </c>
      <c r="S14" s="280">
        <f>ROUND(VLOOKUP(MID($E14,4,3),'Wochentag F(WT)'!$B$7:$J$22,S$9,0),4)</f>
        <v>1</v>
      </c>
      <c r="T14" s="280">
        <f>ROUND(VLOOKUP(MID($E14,4,3),'Wochentag F(WT)'!$B$7:$J$22,T$9,0),4)</f>
        <v>1</v>
      </c>
      <c r="U14" s="280">
        <f>ROUND(VLOOKUP(MID($E14,4,3),'Wochentag F(WT)'!$B$7:$J$22,U$9,0),4)</f>
        <v>1</v>
      </c>
      <c r="V14" s="280">
        <f>ROUND(VLOOKUP(MID($E14,4,3),'Wochentag F(WT)'!$B$7:$J$22,V$9,0),4)</f>
        <v>1</v>
      </c>
      <c r="W14" s="280">
        <f>ROUND(VLOOKUP(MID($E14,4,3),'Wochentag F(WT)'!$B$7:$J$22,W$9,0),4)</f>
        <v>1</v>
      </c>
      <c r="X14" s="281">
        <f t="shared" si="2"/>
        <v>1</v>
      </c>
      <c r="Y14" s="302"/>
      <c r="Z14" s="211"/>
    </row>
    <row r="15" spans="2:26" s="143" customFormat="1">
      <c r="B15" s="144">
        <v>4</v>
      </c>
      <c r="C15" s="145" t="str">
        <f t="shared" si="0"/>
        <v>e-regio</v>
      </c>
      <c r="D15" s="62" t="s">
        <v>247</v>
      </c>
      <c r="E15" s="165" t="s">
        <v>664</v>
      </c>
      <c r="F15" s="306" t="str">
        <f>VLOOKUP($E15,'BDEW-Standard'!$B$3:$M$94,F$9,0)</f>
        <v>KO4</v>
      </c>
      <c r="H15" s="277">
        <f>ROUND(VLOOKUP($E15,'BDEW-Standard'!$B$3:$M$94,H$9,0),7)</f>
        <v>3.4428942999999999</v>
      </c>
      <c r="I15" s="277">
        <f>ROUND(VLOOKUP($E15,'BDEW-Standard'!$B$3:$M$94,I$9,0),7)</f>
        <v>-36.659050399999998</v>
      </c>
      <c r="J15" s="277">
        <f>ROUND(VLOOKUP($E15,'BDEW-Standard'!$B$3:$M$94,J$9,0),7)</f>
        <v>7.6083226000000002</v>
      </c>
      <c r="K15" s="277">
        <f>ROUND(VLOOKUP($E15,'BDEW-Standard'!$B$3:$M$94,K$9,0),7)</f>
        <v>7.4685000000000001E-2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0.97768382110526542</v>
      </c>
      <c r="R15" s="280">
        <f>ROUND(VLOOKUP(MID($E15,4,3),'Wochentag F(WT)'!$B$7:$J$22,R$9,0),4)</f>
        <v>1.0354000000000001</v>
      </c>
      <c r="S15" s="280">
        <f>ROUND(VLOOKUP(MID($E15,4,3),'Wochentag F(WT)'!$B$7:$J$22,S$9,0),4)</f>
        <v>1.0523</v>
      </c>
      <c r="T15" s="280">
        <f>ROUND(VLOOKUP(MID($E15,4,3),'Wochentag F(WT)'!$B$7:$J$22,T$9,0),4)</f>
        <v>1.0448999999999999</v>
      </c>
      <c r="U15" s="280">
        <f>ROUND(VLOOKUP(MID($E15,4,3),'Wochentag F(WT)'!$B$7:$J$22,U$9,0),4)</f>
        <v>1.0494000000000001</v>
      </c>
      <c r="V15" s="280">
        <f>ROUND(VLOOKUP(MID($E15,4,3),'Wochentag F(WT)'!$B$7:$J$22,V$9,0),4)</f>
        <v>0.98850000000000005</v>
      </c>
      <c r="W15" s="280">
        <f>ROUND(VLOOKUP(MID($E15,4,3),'Wochentag F(WT)'!$B$7:$J$22,W$9,0),4)</f>
        <v>0.88600000000000001</v>
      </c>
      <c r="X15" s="281">
        <f t="shared" si="2"/>
        <v>0.94349999999999934</v>
      </c>
      <c r="Y15" s="302"/>
      <c r="Z15" s="211"/>
    </row>
    <row r="16" spans="2:26" s="143" customFormat="1">
      <c r="B16" s="144">
        <v>5</v>
      </c>
      <c r="C16" s="145" t="str">
        <f t="shared" si="0"/>
        <v>e-regio</v>
      </c>
      <c r="D16" s="62" t="s">
        <v>247</v>
      </c>
      <c r="E16" s="165" t="s">
        <v>665</v>
      </c>
      <c r="F16" s="306" t="str">
        <f>VLOOKUP($E16,'BDEW-Standard'!$B$3:$M$94,F$9,0)</f>
        <v>BD4</v>
      </c>
      <c r="H16" s="277">
        <f>ROUND(VLOOKUP($E16,'BDEW-Standard'!$B$3:$M$94,H$9,0),7)</f>
        <v>3.75</v>
      </c>
      <c r="I16" s="277">
        <f>ROUND(VLOOKUP($E16,'BDEW-Standard'!$B$3:$M$94,I$9,0),7)</f>
        <v>-37.5</v>
      </c>
      <c r="J16" s="277">
        <f>ROUND(VLOOKUP($E16,'BDEW-Standard'!$B$3:$M$94,J$9,0),7)</f>
        <v>6.8</v>
      </c>
      <c r="K16" s="277">
        <f>ROUND(VLOOKUP($E16,'BDEW-Standard'!$B$3:$M$94,K$9,0),7)</f>
        <v>6.0911300000000002E-2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1.0126136468627658</v>
      </c>
      <c r="R16" s="280">
        <f>ROUND(VLOOKUP(MID($E16,4,3),'Wochentag F(WT)'!$B$7:$J$22,R$9,0),4)</f>
        <v>1.1052</v>
      </c>
      <c r="S16" s="280">
        <f>ROUND(VLOOKUP(MID($E16,4,3),'Wochentag F(WT)'!$B$7:$J$22,S$9,0),4)</f>
        <v>1.0857000000000001</v>
      </c>
      <c r="T16" s="280">
        <f>ROUND(VLOOKUP(MID($E16,4,3),'Wochentag F(WT)'!$B$7:$J$22,T$9,0),4)</f>
        <v>1.0378000000000001</v>
      </c>
      <c r="U16" s="280">
        <f>ROUND(VLOOKUP(MID($E16,4,3),'Wochentag F(WT)'!$B$7:$J$22,U$9,0),4)</f>
        <v>1.0622</v>
      </c>
      <c r="V16" s="280">
        <f>ROUND(VLOOKUP(MID($E16,4,3),'Wochentag F(WT)'!$B$7:$J$22,V$9,0),4)</f>
        <v>1.0266</v>
      </c>
      <c r="W16" s="280">
        <f>ROUND(VLOOKUP(MID($E16,4,3),'Wochentag F(WT)'!$B$7:$J$22,W$9,0),4)</f>
        <v>0.76290000000000002</v>
      </c>
      <c r="X16" s="281">
        <f t="shared" si="2"/>
        <v>0.91959999999999997</v>
      </c>
      <c r="Y16" s="302"/>
      <c r="Z16" s="211"/>
    </row>
    <row r="17" spans="2:26" s="143" customFormat="1">
      <c r="B17" s="144">
        <v>6</v>
      </c>
      <c r="C17" s="145" t="str">
        <f t="shared" si="0"/>
        <v>e-regio</v>
      </c>
      <c r="D17" s="62" t="s">
        <v>247</v>
      </c>
      <c r="E17" s="165" t="s">
        <v>666</v>
      </c>
      <c r="F17" s="306" t="str">
        <f>VLOOKUP($E17,'BDEW-Standard'!$B$3:$M$94,F$9,0)</f>
        <v>HA4</v>
      </c>
      <c r="H17" s="277">
        <f>ROUND(VLOOKUP($E17,'BDEW-Standard'!$B$3:$M$94,H$9,0),7)</f>
        <v>4.0196902000000003</v>
      </c>
      <c r="I17" s="277">
        <f>ROUND(VLOOKUP($E17,'BDEW-Standard'!$B$3:$M$94,I$9,0),7)</f>
        <v>-37.828203700000003</v>
      </c>
      <c r="J17" s="277">
        <f>ROUND(VLOOKUP($E17,'BDEW-Standard'!$B$3:$M$94,J$9,0),7)</f>
        <v>8.1593368999999996</v>
      </c>
      <c r="K17" s="277">
        <f>ROUND(VLOOKUP($E17,'BDEW-Standard'!$B$3:$M$94,K$9,0),7)</f>
        <v>4.72845E-2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0.86486713303260787</v>
      </c>
      <c r="R17" s="280">
        <f>ROUND(VLOOKUP(MID($E17,4,3),'Wochentag F(WT)'!$B$7:$J$22,R$9,0),4)</f>
        <v>1.0358000000000001</v>
      </c>
      <c r="S17" s="280">
        <f>ROUND(VLOOKUP(MID($E17,4,3),'Wochentag F(WT)'!$B$7:$J$22,S$9,0),4)</f>
        <v>1.0232000000000001</v>
      </c>
      <c r="T17" s="280">
        <f>ROUND(VLOOKUP(MID($E17,4,3),'Wochentag F(WT)'!$B$7:$J$22,T$9,0),4)</f>
        <v>1.0251999999999999</v>
      </c>
      <c r="U17" s="280">
        <f>ROUND(VLOOKUP(MID($E17,4,3),'Wochentag F(WT)'!$B$7:$J$22,U$9,0),4)</f>
        <v>1.0295000000000001</v>
      </c>
      <c r="V17" s="280">
        <f>ROUND(VLOOKUP(MID($E17,4,3),'Wochentag F(WT)'!$B$7:$J$22,V$9,0),4)</f>
        <v>1.0253000000000001</v>
      </c>
      <c r="W17" s="280">
        <f>ROUND(VLOOKUP(MID($E17,4,3),'Wochentag F(WT)'!$B$7:$J$22,W$9,0),4)</f>
        <v>0.96750000000000003</v>
      </c>
      <c r="X17" s="281">
        <f t="shared" si="2"/>
        <v>0.89350000000000041</v>
      </c>
      <c r="Y17" s="302"/>
      <c r="Z17" s="211"/>
    </row>
    <row r="18" spans="2:26" s="143" customFormat="1">
      <c r="B18" s="144">
        <v>7</v>
      </c>
      <c r="C18" s="145" t="str">
        <f t="shared" si="0"/>
        <v>e-regio</v>
      </c>
      <c r="D18" s="62" t="s">
        <v>247</v>
      </c>
      <c r="E18" s="165" t="s">
        <v>667</v>
      </c>
      <c r="F18" s="306" t="str">
        <f>VLOOKUP($E18,'BDEW-Standard'!$B$3:$M$94,F$9,0)</f>
        <v>MK4</v>
      </c>
      <c r="H18" s="277">
        <f>ROUND(VLOOKUP($E18,'BDEW-Standard'!$B$3:$M$94,H$9,0),7)</f>
        <v>3.1177248</v>
      </c>
      <c r="I18" s="277">
        <f>ROUND(VLOOKUP($E18,'BDEW-Standard'!$B$3:$M$94,I$9,0),7)</f>
        <v>-35.871506199999999</v>
      </c>
      <c r="J18" s="277">
        <f>ROUND(VLOOKUP($E18,'BDEW-Standard'!$B$3:$M$94,J$9,0),7)</f>
        <v>7.5186828999999999</v>
      </c>
      <c r="K18" s="277">
        <f>ROUND(VLOOKUP($E18,'BDEW-Standard'!$B$3:$M$94,K$9,0),7)</f>
        <v>3.4330100000000002E-2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0.9622064996731321</v>
      </c>
      <c r="R18" s="280">
        <f>ROUND(VLOOKUP(MID($E18,4,3),'Wochentag F(WT)'!$B$7:$J$22,R$9,0),4)</f>
        <v>1.0699000000000001</v>
      </c>
      <c r="S18" s="280">
        <f>ROUND(VLOOKUP(MID($E18,4,3),'Wochentag F(WT)'!$B$7:$J$22,S$9,0),4)</f>
        <v>1.0365</v>
      </c>
      <c r="T18" s="280">
        <f>ROUND(VLOOKUP(MID($E18,4,3),'Wochentag F(WT)'!$B$7:$J$22,T$9,0),4)</f>
        <v>0.99329999999999996</v>
      </c>
      <c r="U18" s="280">
        <f>ROUND(VLOOKUP(MID($E18,4,3),'Wochentag F(WT)'!$B$7:$J$22,U$9,0),4)</f>
        <v>0.99480000000000002</v>
      </c>
      <c r="V18" s="280">
        <f>ROUND(VLOOKUP(MID($E18,4,3),'Wochentag F(WT)'!$B$7:$J$22,V$9,0),4)</f>
        <v>1.0659000000000001</v>
      </c>
      <c r="W18" s="280">
        <f>ROUND(VLOOKUP(MID($E18,4,3),'Wochentag F(WT)'!$B$7:$J$22,W$9,0),4)</f>
        <v>0.93620000000000003</v>
      </c>
      <c r="X18" s="281">
        <f t="shared" si="2"/>
        <v>0.90339999999999954</v>
      </c>
      <c r="Y18" s="302"/>
      <c r="Z18" s="211"/>
    </row>
    <row r="19" spans="2:26" s="143" customFormat="1">
      <c r="B19" s="144">
        <v>8</v>
      </c>
      <c r="C19" s="145" t="str">
        <f t="shared" si="0"/>
        <v>e-regio</v>
      </c>
      <c r="D19" s="62" t="s">
        <v>247</v>
      </c>
      <c r="E19" s="165" t="s">
        <v>668</v>
      </c>
      <c r="F19" s="306" t="str">
        <f>VLOOKUP($E19,'BDEW-Standard'!$B$3:$M$94,F$9,0)</f>
        <v>GB4</v>
      </c>
      <c r="H19" s="277">
        <f>ROUND(VLOOKUP($E19,'BDEW-Standard'!$B$3:$M$94,H$9,0),7)</f>
        <v>3.6017736</v>
      </c>
      <c r="I19" s="277">
        <f>ROUND(VLOOKUP($E19,'BDEW-Standard'!$B$3:$M$94,I$9,0),7)</f>
        <v>-37.882536799999997</v>
      </c>
      <c r="J19" s="277">
        <f>ROUND(VLOOKUP($E19,'BDEW-Standard'!$B$3:$M$94,J$9,0),7)</f>
        <v>6.9836070000000001</v>
      </c>
      <c r="K19" s="277">
        <f>ROUND(VLOOKUP($E19,'BDEW-Standard'!$B$3:$M$94,K$9,0),7)</f>
        <v>5.4826199999999999E-2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0.90239375975311864</v>
      </c>
      <c r="R19" s="280">
        <f>ROUND(VLOOKUP(MID($E19,4,3),'Wochentag F(WT)'!$B$7:$J$22,R$9,0),4)</f>
        <v>0.98970000000000002</v>
      </c>
      <c r="S19" s="280">
        <f>ROUND(VLOOKUP(MID($E19,4,3),'Wochentag F(WT)'!$B$7:$J$22,S$9,0),4)</f>
        <v>0.9627</v>
      </c>
      <c r="T19" s="280">
        <f>ROUND(VLOOKUP(MID($E19,4,3),'Wochentag F(WT)'!$B$7:$J$22,T$9,0),4)</f>
        <v>1.0507</v>
      </c>
      <c r="U19" s="280">
        <f>ROUND(VLOOKUP(MID($E19,4,3),'Wochentag F(WT)'!$B$7:$J$22,U$9,0),4)</f>
        <v>1.0551999999999999</v>
      </c>
      <c r="V19" s="280">
        <f>ROUND(VLOOKUP(MID($E19,4,3),'Wochentag F(WT)'!$B$7:$J$22,V$9,0),4)</f>
        <v>1.0297000000000001</v>
      </c>
      <c r="W19" s="280">
        <f>ROUND(VLOOKUP(MID($E19,4,3),'Wochentag F(WT)'!$B$7:$J$22,W$9,0),4)</f>
        <v>0.97670000000000001</v>
      </c>
      <c r="X19" s="281">
        <f t="shared" si="2"/>
        <v>0.9352999999999998</v>
      </c>
      <c r="Y19" s="302"/>
      <c r="Z19" s="211"/>
    </row>
    <row r="20" spans="2:26" s="143" customFormat="1">
      <c r="B20" s="144">
        <v>9</v>
      </c>
      <c r="C20" s="145" t="str">
        <f t="shared" si="0"/>
        <v>e-regio</v>
      </c>
      <c r="D20" s="62" t="s">
        <v>247</v>
      </c>
      <c r="E20" s="165" t="s">
        <v>669</v>
      </c>
      <c r="F20" s="306" t="str">
        <f>VLOOKUP($E20,'BDEW-Standard'!$B$3:$M$94,F$9,0)</f>
        <v>BH4</v>
      </c>
      <c r="H20" s="277">
        <f>ROUND(VLOOKUP($E20,'BDEW-Standard'!$B$3:$M$94,H$9,0),7)</f>
        <v>2.4595180999999999</v>
      </c>
      <c r="I20" s="277">
        <f>ROUND(VLOOKUP($E20,'BDEW-Standard'!$B$3:$M$94,I$9,0),7)</f>
        <v>-35.253212400000002</v>
      </c>
      <c r="J20" s="277">
        <f>ROUND(VLOOKUP($E20,'BDEW-Standard'!$B$3:$M$94,J$9,0),7)</f>
        <v>6.0587001000000003</v>
      </c>
      <c r="K20" s="277">
        <f>ROUND(VLOOKUP($E20,'BDEW-Standard'!$B$3:$M$94,K$9,0),7)</f>
        <v>0.16473699999999999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1.043802057143173</v>
      </c>
      <c r="R20" s="280">
        <f>ROUND(VLOOKUP(MID($E20,4,3),'Wochentag F(WT)'!$B$7:$J$22,R$9,0),4)</f>
        <v>0.97670000000000001</v>
      </c>
      <c r="S20" s="280">
        <f>ROUND(VLOOKUP(MID($E20,4,3),'Wochentag F(WT)'!$B$7:$J$22,S$9,0),4)</f>
        <v>1.0388999999999999</v>
      </c>
      <c r="T20" s="280">
        <f>ROUND(VLOOKUP(MID($E20,4,3),'Wochentag F(WT)'!$B$7:$J$22,T$9,0),4)</f>
        <v>1.0027999999999999</v>
      </c>
      <c r="U20" s="280">
        <f>ROUND(VLOOKUP(MID($E20,4,3),'Wochentag F(WT)'!$B$7:$J$22,U$9,0),4)</f>
        <v>1.0162</v>
      </c>
      <c r="V20" s="280">
        <f>ROUND(VLOOKUP(MID($E20,4,3),'Wochentag F(WT)'!$B$7:$J$22,V$9,0),4)</f>
        <v>1.0024</v>
      </c>
      <c r="W20" s="280">
        <f>ROUND(VLOOKUP(MID($E20,4,3),'Wochentag F(WT)'!$B$7:$J$22,W$9,0),4)</f>
        <v>1.0043</v>
      </c>
      <c r="X20" s="281">
        <f t="shared" si="2"/>
        <v>0.95870000000000122</v>
      </c>
      <c r="Y20" s="302"/>
      <c r="Z20" s="211"/>
    </row>
    <row r="21" spans="2:26" s="143" customFormat="1">
      <c r="B21" s="144">
        <v>10</v>
      </c>
      <c r="C21" s="145" t="str">
        <f t="shared" si="0"/>
        <v>e-regio</v>
      </c>
      <c r="D21" s="62" t="s">
        <v>247</v>
      </c>
      <c r="E21" s="165" t="s">
        <v>670</v>
      </c>
      <c r="F21" s="306" t="str">
        <f>VLOOKUP($E21,'BDEW-Standard'!$B$3:$M$94,F$9,0)</f>
        <v>BA4</v>
      </c>
      <c r="H21" s="277">
        <f>ROUND(VLOOKUP($E21,'BDEW-Standard'!$B$3:$M$94,H$9,0),7)</f>
        <v>0.93158890000000005</v>
      </c>
      <c r="I21" s="277">
        <f>ROUND(VLOOKUP($E21,'BDEW-Standard'!$B$3:$M$94,I$9,0),7)</f>
        <v>-33.35</v>
      </c>
      <c r="J21" s="277">
        <f>ROUND(VLOOKUP($E21,'BDEW-Standard'!$B$3:$M$94,J$9,0),7)</f>
        <v>5.7212303000000002</v>
      </c>
      <c r="K21" s="277">
        <f>ROUND(VLOOKUP($E21,'BDEW-Standard'!$B$3:$M$94,K$9,0),7)</f>
        <v>0.66564939999999995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1.0766391850538448</v>
      </c>
      <c r="R21" s="280">
        <f>ROUND(VLOOKUP(MID($E21,4,3),'Wochentag F(WT)'!$B$7:$J$22,R$9,0),4)</f>
        <v>1.0848</v>
      </c>
      <c r="S21" s="280">
        <f>ROUND(VLOOKUP(MID($E21,4,3),'Wochentag F(WT)'!$B$7:$J$22,S$9,0),4)</f>
        <v>1.1211</v>
      </c>
      <c r="T21" s="280">
        <f>ROUND(VLOOKUP(MID($E21,4,3),'Wochentag F(WT)'!$B$7:$J$22,T$9,0),4)</f>
        <v>1.0769</v>
      </c>
      <c r="U21" s="280">
        <f>ROUND(VLOOKUP(MID($E21,4,3),'Wochentag F(WT)'!$B$7:$J$22,U$9,0),4)</f>
        <v>1.1353</v>
      </c>
      <c r="V21" s="280">
        <f>ROUND(VLOOKUP(MID($E21,4,3),'Wochentag F(WT)'!$B$7:$J$22,V$9,0),4)</f>
        <v>1.1402000000000001</v>
      </c>
      <c r="W21" s="280">
        <f>ROUND(VLOOKUP(MID($E21,4,3),'Wochentag F(WT)'!$B$7:$J$22,W$9,0),4)</f>
        <v>0.48520000000000002</v>
      </c>
      <c r="X21" s="281">
        <f t="shared" si="2"/>
        <v>0.95650000000000013</v>
      </c>
      <c r="Y21" s="302"/>
      <c r="Z21" s="211"/>
    </row>
    <row r="22" spans="2:26" s="143" customFormat="1">
      <c r="B22" s="144">
        <v>11</v>
      </c>
      <c r="C22" s="145" t="str">
        <f t="shared" si="0"/>
        <v>e-regio</v>
      </c>
      <c r="D22" s="62" t="s">
        <v>247</v>
      </c>
      <c r="E22" s="165" t="s">
        <v>671</v>
      </c>
      <c r="F22" s="306" t="str">
        <f>VLOOKUP($E22,'BDEW-Standard'!$B$3:$M$94,F$9,0)</f>
        <v>WA4</v>
      </c>
      <c r="H22" s="277">
        <f>ROUND(VLOOKUP($E22,'BDEW-Standard'!$B$3:$M$94,H$9,0),7)</f>
        <v>1.0535874999999999</v>
      </c>
      <c r="I22" s="277">
        <f>ROUND(VLOOKUP($E22,'BDEW-Standard'!$B$3:$M$94,I$9,0),7)</f>
        <v>-35.299999999999997</v>
      </c>
      <c r="J22" s="277">
        <f>ROUND(VLOOKUP($E22,'BDEW-Standard'!$B$3:$M$94,J$9,0),7)</f>
        <v>4.8662747</v>
      </c>
      <c r="K22" s="277">
        <f>ROUND(VLOOKUP($E22,'BDEW-Standard'!$B$3:$M$94,K$9,0),7)</f>
        <v>0.68110420000000005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1.0844348950990992</v>
      </c>
      <c r="R22" s="280">
        <f>ROUND(VLOOKUP(MID($E22,4,3),'Wochentag F(WT)'!$B$7:$J$22,R$9,0),4)</f>
        <v>1.2457</v>
      </c>
      <c r="S22" s="280">
        <f>ROUND(VLOOKUP(MID($E22,4,3),'Wochentag F(WT)'!$B$7:$J$22,S$9,0),4)</f>
        <v>1.2615000000000001</v>
      </c>
      <c r="T22" s="280">
        <f>ROUND(VLOOKUP(MID($E22,4,3),'Wochentag F(WT)'!$B$7:$J$22,T$9,0),4)</f>
        <v>1.2706999999999999</v>
      </c>
      <c r="U22" s="280">
        <f>ROUND(VLOOKUP(MID($E22,4,3),'Wochentag F(WT)'!$B$7:$J$22,U$9,0),4)</f>
        <v>1.2430000000000001</v>
      </c>
      <c r="V22" s="280">
        <f>ROUND(VLOOKUP(MID($E22,4,3),'Wochentag F(WT)'!$B$7:$J$22,V$9,0),4)</f>
        <v>1.1275999999999999</v>
      </c>
      <c r="W22" s="280">
        <f>ROUND(VLOOKUP(MID($E22,4,3),'Wochentag F(WT)'!$B$7:$J$22,W$9,0),4)</f>
        <v>0.38769999999999999</v>
      </c>
      <c r="X22" s="281">
        <f t="shared" si="2"/>
        <v>0.46379999999999999</v>
      </c>
      <c r="Y22" s="302"/>
      <c r="Z22" s="211"/>
    </row>
    <row r="23" spans="2:26" s="143" customFormat="1">
      <c r="B23" s="144">
        <v>12</v>
      </c>
      <c r="C23" s="145" t="str">
        <f t="shared" si="0"/>
        <v>e-regio</v>
      </c>
      <c r="D23" s="62" t="s">
        <v>247</v>
      </c>
      <c r="E23" s="165" t="s">
        <v>675</v>
      </c>
      <c r="F23" s="306" t="str">
        <f>VLOOKUP($E23,'BDEW-Standard'!$B$3:$M$94,F$9,0)</f>
        <v>KO3</v>
      </c>
      <c r="H23" s="277">
        <f>ROUND(VLOOKUP($E23,'BDEW-Standard'!$B$3:$M$94,H$9,0),7)</f>
        <v>2.7172288</v>
      </c>
      <c r="I23" s="277">
        <f>ROUND(VLOOKUP($E23,'BDEW-Standard'!$B$3:$M$94,I$9,0),7)</f>
        <v>-35.141256300000002</v>
      </c>
      <c r="J23" s="277">
        <f>ROUND(VLOOKUP($E23,'BDEW-Standard'!$B$3:$M$94,J$9,0),7)</f>
        <v>7.1303394999999998</v>
      </c>
      <c r="K23" s="277">
        <f>ROUND(VLOOKUP($E23,'BDEW-Standard'!$B$3:$M$94,K$9,0),7)</f>
        <v>0.14184720000000001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1.0630299199876638</v>
      </c>
      <c r="R23" s="280">
        <f>ROUND(VLOOKUP(MID($E23,4,3),'Wochentag F(WT)'!$B$7:$J$22,R$9,0),4)</f>
        <v>1.0354000000000001</v>
      </c>
      <c r="S23" s="280">
        <f>ROUND(VLOOKUP(MID($E23,4,3),'Wochentag F(WT)'!$B$7:$J$22,S$9,0),4)</f>
        <v>1.0523</v>
      </c>
      <c r="T23" s="280">
        <f>ROUND(VLOOKUP(MID($E23,4,3),'Wochentag F(WT)'!$B$7:$J$22,T$9,0),4)</f>
        <v>1.0448999999999999</v>
      </c>
      <c r="U23" s="280">
        <f>ROUND(VLOOKUP(MID($E23,4,3),'Wochentag F(WT)'!$B$7:$J$22,U$9,0),4)</f>
        <v>1.0494000000000001</v>
      </c>
      <c r="V23" s="280">
        <f>ROUND(VLOOKUP(MID($E23,4,3),'Wochentag F(WT)'!$B$7:$J$22,V$9,0),4)</f>
        <v>0.98850000000000005</v>
      </c>
      <c r="W23" s="280">
        <f>ROUND(VLOOKUP(MID($E23,4,3),'Wochentag F(WT)'!$B$7:$J$22,W$9,0),4)</f>
        <v>0.88600000000000001</v>
      </c>
      <c r="X23" s="281">
        <f t="shared" si="2"/>
        <v>0.94349999999999934</v>
      </c>
      <c r="Y23" s="302"/>
      <c r="Z23" s="211"/>
    </row>
    <row r="24" spans="2:26" s="143" customFormat="1">
      <c r="B24" s="144">
        <v>13</v>
      </c>
      <c r="C24" s="145" t="str">
        <f t="shared" si="0"/>
        <v>e-regio</v>
      </c>
      <c r="D24" s="62" t="s">
        <v>247</v>
      </c>
      <c r="E24" s="165" t="s">
        <v>672</v>
      </c>
      <c r="F24" s="306" t="str">
        <f>VLOOKUP($E24,'BDEW-Standard'!$B$3:$M$94,F$9,0)</f>
        <v>MF4</v>
      </c>
      <c r="H24" s="277">
        <f>ROUND(VLOOKUP($E24,'BDEW-Standard'!$B$3:$M$94,H$9,0),7)</f>
        <v>2.5187775000000001</v>
      </c>
      <c r="I24" s="277">
        <f>ROUND(VLOOKUP($E24,'BDEW-Standard'!$B$3:$M$94,I$9,0),7)</f>
        <v>-35.033375399999997</v>
      </c>
      <c r="J24" s="277">
        <f>ROUND(VLOOKUP($E24,'BDEW-Standard'!$B$3:$M$94,J$9,0),7)</f>
        <v>6.2240634000000004</v>
      </c>
      <c r="K24" s="277">
        <f>ROUND(VLOOKUP($E24,'BDEW-Standard'!$B$3:$M$94,K$9,0),7)</f>
        <v>0.10107820000000001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1.0146273685996503</v>
      </c>
      <c r="R24" s="280">
        <f>ROUND(VLOOKUP(MID($E24,4,3),'Wochentag F(WT)'!$B$7:$J$22,R$9,0),4)</f>
        <v>1.0354000000000001</v>
      </c>
      <c r="S24" s="280">
        <f>ROUND(VLOOKUP(MID($E24,4,3),'Wochentag F(WT)'!$B$7:$J$22,S$9,0),4)</f>
        <v>1.0523</v>
      </c>
      <c r="T24" s="280">
        <f>ROUND(VLOOKUP(MID($E24,4,3),'Wochentag F(WT)'!$B$7:$J$22,T$9,0),4)</f>
        <v>1.0448999999999999</v>
      </c>
      <c r="U24" s="280">
        <f>ROUND(VLOOKUP(MID($E24,4,3),'Wochentag F(WT)'!$B$7:$J$22,U$9,0),4)</f>
        <v>1.0494000000000001</v>
      </c>
      <c r="V24" s="280">
        <f>ROUND(VLOOKUP(MID($E24,4,3),'Wochentag F(WT)'!$B$7:$J$22,V$9,0),4)</f>
        <v>0.98850000000000005</v>
      </c>
      <c r="W24" s="280">
        <f>ROUND(VLOOKUP(MID($E24,4,3),'Wochentag F(WT)'!$B$7:$J$22,W$9,0),4)</f>
        <v>0.88600000000000001</v>
      </c>
      <c r="X24" s="281">
        <f t="shared" si="2"/>
        <v>0.94349999999999934</v>
      </c>
      <c r="Y24" s="302"/>
      <c r="Z24" s="211"/>
    </row>
    <row r="25" spans="2:26" s="143" customFormat="1">
      <c r="B25" s="144">
        <v>14</v>
      </c>
      <c r="C25" s="145" t="str">
        <f t="shared" si="0"/>
        <v>e-regio</v>
      </c>
      <c r="D25" s="62" t="s">
        <v>247</v>
      </c>
      <c r="E25" s="165" t="s">
        <v>673</v>
      </c>
      <c r="F25" s="306" t="str">
        <f>VLOOKUP($E25,'BDEW-Standard'!$B$3:$M$94,F$9,0)</f>
        <v>PD4</v>
      </c>
      <c r="H25" s="277">
        <f>ROUND(VLOOKUP($E25,'BDEW-Standard'!$B$3:$M$94,H$9,0),7)</f>
        <v>3.85</v>
      </c>
      <c r="I25" s="277">
        <f>ROUND(VLOOKUP($E25,'BDEW-Standard'!$B$3:$M$94,I$9,0),7)</f>
        <v>-37</v>
      </c>
      <c r="J25" s="277">
        <f>ROUND(VLOOKUP($E25,'BDEW-Standard'!$B$3:$M$94,J$9,0),7)</f>
        <v>10.2405021</v>
      </c>
      <c r="K25" s="277">
        <f>ROUND(VLOOKUP($E25,'BDEW-Standard'!$B$3:$M$94,K$9,0),7)</f>
        <v>4.6924300000000002E-2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0.75691065279879233</v>
      </c>
      <c r="R25" s="280">
        <f>ROUND(VLOOKUP(MID($E25,4,3),'Wochentag F(WT)'!$B$7:$J$22,R$9,0),4)</f>
        <v>1.0214000000000001</v>
      </c>
      <c r="S25" s="280">
        <f>ROUND(VLOOKUP(MID($E25,4,3),'Wochentag F(WT)'!$B$7:$J$22,S$9,0),4)</f>
        <v>1.0866</v>
      </c>
      <c r="T25" s="280">
        <f>ROUND(VLOOKUP(MID($E25,4,3),'Wochentag F(WT)'!$B$7:$J$22,T$9,0),4)</f>
        <v>1.0720000000000001</v>
      </c>
      <c r="U25" s="280">
        <f>ROUND(VLOOKUP(MID($E25,4,3),'Wochentag F(WT)'!$B$7:$J$22,U$9,0),4)</f>
        <v>1.0557000000000001</v>
      </c>
      <c r="V25" s="280">
        <f>ROUND(VLOOKUP(MID($E25,4,3),'Wochentag F(WT)'!$B$7:$J$22,V$9,0),4)</f>
        <v>1.0117</v>
      </c>
      <c r="W25" s="280">
        <f>ROUND(VLOOKUP(MID($E25,4,3),'Wochentag F(WT)'!$B$7:$J$22,W$9,0),4)</f>
        <v>0.90010000000000001</v>
      </c>
      <c r="X25" s="281">
        <f t="shared" si="2"/>
        <v>0.85249999999999915</v>
      </c>
      <c r="Y25" s="302"/>
      <c r="Z25" s="211"/>
    </row>
    <row r="26" spans="2:26" s="143" customFormat="1">
      <c r="B26" s="144">
        <v>15</v>
      </c>
      <c r="C26" s="145" t="str">
        <f t="shared" si="0"/>
        <v>e-regio</v>
      </c>
      <c r="D26" s="62" t="s">
        <v>247</v>
      </c>
      <c r="E26" s="165" t="s">
        <v>674</v>
      </c>
      <c r="F26" s="306" t="str">
        <f>VLOOKUP($E26,'BDEW-Standard'!$B$3:$M$94,F$9,0)</f>
        <v>GA3</v>
      </c>
      <c r="H26" s="277">
        <f>ROUND(VLOOKUP($E26,'BDEW-Standard'!$B$3:$M$94,H$9,0),7)</f>
        <v>2.2850164999999998</v>
      </c>
      <c r="I26" s="277">
        <f>ROUND(VLOOKUP($E26,'BDEW-Standard'!$B$3:$M$94,I$9,0),7)</f>
        <v>-36.287858399999998</v>
      </c>
      <c r="J26" s="277">
        <f>ROUND(VLOOKUP($E26,'BDEW-Standard'!$B$3:$M$94,J$9,0),7)</f>
        <v>6.5885125999999996</v>
      </c>
      <c r="K26" s="277">
        <f>ROUND(VLOOKUP($E26,'BDEW-Standard'!$B$3:$M$94,K$9,0),7)</f>
        <v>0.31505349999999999</v>
      </c>
      <c r="L26" s="278">
        <f>ROUND(VLOOKUP($E26,'BDEW-Standard'!$B$3:$M$94,L$9,0),1)</f>
        <v>40</v>
      </c>
      <c r="M26" s="277">
        <f>ROUND(VLOOKUP($E26,'BDEW-Standard'!$B$3:$M$94,M$9,0),7)</f>
        <v>0</v>
      </c>
      <c r="N26" s="277">
        <f>ROUND(VLOOKUP($E26,'BDEW-Standard'!$B$3:$M$94,N$9,0),7)</f>
        <v>0</v>
      </c>
      <c r="O26" s="277">
        <f>ROUND(VLOOKUP($E26,'BDEW-Standard'!$B$3:$M$94,O$9,0),7)</f>
        <v>0</v>
      </c>
      <c r="P26" s="277">
        <f>ROUND(VLOOKUP($E26,'BDEW-Standard'!$B$3:$M$94,P$9,0),7)</f>
        <v>0</v>
      </c>
      <c r="Q26" s="279">
        <f t="shared" si="1"/>
        <v>1.0096183914256316</v>
      </c>
      <c r="R26" s="280">
        <f>ROUND(VLOOKUP(MID($E26,4,3),'Wochentag F(WT)'!$B$7:$J$22,R$9,0),4)</f>
        <v>0.93220000000000003</v>
      </c>
      <c r="S26" s="280">
        <f>ROUND(VLOOKUP(MID($E26,4,3),'Wochentag F(WT)'!$B$7:$J$22,S$9,0),4)</f>
        <v>0.98939999999999995</v>
      </c>
      <c r="T26" s="280">
        <f>ROUND(VLOOKUP(MID($E26,4,3),'Wochentag F(WT)'!$B$7:$J$22,T$9,0),4)</f>
        <v>1.0033000000000001</v>
      </c>
      <c r="U26" s="280">
        <f>ROUND(VLOOKUP(MID($E26,4,3),'Wochentag F(WT)'!$B$7:$J$22,U$9,0),4)</f>
        <v>1.0108999999999999</v>
      </c>
      <c r="V26" s="280">
        <f>ROUND(VLOOKUP(MID($E26,4,3),'Wochentag F(WT)'!$B$7:$J$22,V$9,0),4)</f>
        <v>1.018</v>
      </c>
      <c r="W26" s="280">
        <f>ROUND(VLOOKUP(MID($E26,4,3),'Wochentag F(WT)'!$B$7:$J$22,W$9,0),4)</f>
        <v>1.0356000000000001</v>
      </c>
      <c r="X26" s="281">
        <f t="shared" si="2"/>
        <v>1.0106000000000002</v>
      </c>
      <c r="Y26" s="302"/>
      <c r="Z26" s="211"/>
    </row>
    <row r="27" spans="2:26" s="143" customFormat="1">
      <c r="B27" s="144">
        <v>16</v>
      </c>
      <c r="C27" s="145" t="str">
        <f t="shared" si="0"/>
        <v>e-regio</v>
      </c>
      <c r="D27" s="62"/>
      <c r="E27" s="166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3" customFormat="1">
      <c r="B28" s="144">
        <v>17</v>
      </c>
      <c r="C28" s="145" t="str">
        <f t="shared" si="0"/>
        <v>e-regio</v>
      </c>
      <c r="D28" s="62"/>
      <c r="E28" s="166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3" customFormat="1">
      <c r="B29" s="144">
        <v>18</v>
      </c>
      <c r="C29" s="145" t="str">
        <f t="shared" si="0"/>
        <v>e-regio</v>
      </c>
      <c r="D29" s="62"/>
      <c r="E29" s="166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3" customFormat="1">
      <c r="B30" s="144">
        <v>19</v>
      </c>
      <c r="C30" s="145" t="str">
        <f t="shared" si="0"/>
        <v>e-regio</v>
      </c>
      <c r="D30" s="62"/>
      <c r="E30" s="166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3" customFormat="1">
      <c r="B31" s="144">
        <v>20</v>
      </c>
      <c r="C31" s="145" t="str">
        <f t="shared" si="0"/>
        <v>e-regio</v>
      </c>
      <c r="D31" s="62"/>
      <c r="E31" s="166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3" customFormat="1">
      <c r="B32" s="144">
        <v>21</v>
      </c>
      <c r="C32" s="145" t="str">
        <f t="shared" si="0"/>
        <v>e-regio</v>
      </c>
      <c r="D32" s="62"/>
      <c r="E32" s="166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3" customFormat="1">
      <c r="B33" s="144">
        <v>22</v>
      </c>
      <c r="C33" s="145" t="str">
        <f t="shared" si="0"/>
        <v>e-regio</v>
      </c>
      <c r="D33" s="62"/>
      <c r="E33" s="166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3" customFormat="1">
      <c r="B34" s="144">
        <v>23</v>
      </c>
      <c r="C34" s="145" t="str">
        <f t="shared" si="0"/>
        <v>e-regio</v>
      </c>
      <c r="D34" s="62"/>
      <c r="E34" s="166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3" customFormat="1">
      <c r="B35" s="144">
        <v>24</v>
      </c>
      <c r="C35" s="145" t="str">
        <f t="shared" si="0"/>
        <v>e-regio</v>
      </c>
      <c r="D35" s="62"/>
      <c r="E35" s="166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3" customFormat="1">
      <c r="B36" s="144">
        <v>25</v>
      </c>
      <c r="C36" s="145" t="str">
        <f t="shared" si="0"/>
        <v>e-regio</v>
      </c>
      <c r="D36" s="62"/>
      <c r="E36" s="166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3" customFormat="1">
      <c r="B37" s="144">
        <v>26</v>
      </c>
      <c r="C37" s="145" t="str">
        <f t="shared" si="0"/>
        <v>e-regio</v>
      </c>
      <c r="D37" s="62"/>
      <c r="E37" s="166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3" customFormat="1">
      <c r="B38" s="144">
        <v>27</v>
      </c>
      <c r="C38" s="145" t="str">
        <f t="shared" si="0"/>
        <v>e-regio</v>
      </c>
      <c r="D38" s="62"/>
      <c r="E38" s="166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3" customFormat="1">
      <c r="B39" s="144">
        <v>28</v>
      </c>
      <c r="C39" s="145" t="str">
        <f t="shared" si="0"/>
        <v>e-regio</v>
      </c>
      <c r="D39" s="62"/>
      <c r="E39" s="166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3" customFormat="1">
      <c r="B40" s="144">
        <v>29</v>
      </c>
      <c r="C40" s="145" t="str">
        <f t="shared" si="0"/>
        <v>e-regio</v>
      </c>
      <c r="D40" s="62"/>
      <c r="E40" s="166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3" customFormat="1">
      <c r="B41" s="144">
        <v>30</v>
      </c>
      <c r="C41" s="145" t="str">
        <f t="shared" si="0"/>
        <v>e-regio</v>
      </c>
      <c r="D41" s="62"/>
      <c r="E41" s="166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4" t="s">
        <v>347</v>
      </c>
      <c r="B1" s="215">
        <v>42173</v>
      </c>
      <c r="D1" s="131" t="s">
        <v>457</v>
      </c>
      <c r="F1" s="216" t="s">
        <v>550</v>
      </c>
      <c r="N1" s="217"/>
    </row>
    <row r="2" spans="1:14" ht="25.5">
      <c r="A2" s="218" t="s">
        <v>271</v>
      </c>
      <c r="B2" s="219" t="s">
        <v>145</v>
      </c>
      <c r="C2" s="220" t="s">
        <v>147</v>
      </c>
      <c r="D2" s="221" t="s">
        <v>148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69</v>
      </c>
      <c r="J2" s="222" t="s">
        <v>149</v>
      </c>
      <c r="K2" s="222" t="s">
        <v>150</v>
      </c>
      <c r="L2" s="222" t="s">
        <v>151</v>
      </c>
      <c r="M2" s="224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152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153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0" t="str">
        <f t="shared" si="3"/>
        <v>D15</v>
      </c>
      <c r="D5" s="226" t="s">
        <v>154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155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0" t="str">
        <f t="shared" si="3"/>
        <v>1D4</v>
      </c>
      <c r="D7" s="226" t="s">
        <v>156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0" t="str">
        <f t="shared" si="3"/>
        <v>D23</v>
      </c>
      <c r="D8" s="226" t="s">
        <v>157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0" t="str">
        <f t="shared" si="3"/>
        <v>D24</v>
      </c>
      <c r="D9" s="226" t="s">
        <v>158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0" t="str">
        <f t="shared" si="3"/>
        <v>D25</v>
      </c>
      <c r="D10" s="226" t="s">
        <v>159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0" t="str">
        <f t="shared" si="3"/>
        <v>2D3</v>
      </c>
      <c r="D11" s="226" t="s">
        <v>160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0" t="str">
        <f t="shared" si="3"/>
        <v>2D4</v>
      </c>
      <c r="D12" s="226" t="s">
        <v>161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0" t="str">
        <f t="shared" si="3"/>
        <v>HK3</v>
      </c>
      <c r="D13" s="226" t="s">
        <v>245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0" t="str">
        <f t="shared" si="3"/>
        <v>MK1</v>
      </c>
      <c r="D14" s="226" t="s">
        <v>162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0" t="str">
        <f t="shared" si="3"/>
        <v>MK2</v>
      </c>
      <c r="D15" s="226" t="s">
        <v>163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0" t="str">
        <f t="shared" si="3"/>
        <v>MK3</v>
      </c>
      <c r="D16" s="226" t="s">
        <v>164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0" t="str">
        <f t="shared" si="3"/>
        <v>MK4</v>
      </c>
      <c r="D17" s="226" t="s">
        <v>165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0" t="str">
        <f t="shared" si="3"/>
        <v>MK5</v>
      </c>
      <c r="D18" s="226" t="s">
        <v>166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0" t="str">
        <f t="shared" si="3"/>
        <v>KM3</v>
      </c>
      <c r="D19" s="226" t="s">
        <v>167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0" t="str">
        <f t="shared" si="3"/>
        <v>KM4</v>
      </c>
      <c r="D20" s="226" t="s">
        <v>168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0" t="str">
        <f t="shared" si="3"/>
        <v>HA1</v>
      </c>
      <c r="D21" s="226" t="s">
        <v>169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0" t="str">
        <f t="shared" si="3"/>
        <v>HA2</v>
      </c>
      <c r="D22" s="226" t="s">
        <v>170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0" t="str">
        <f t="shared" si="3"/>
        <v>HA3</v>
      </c>
      <c r="D23" s="226" t="s">
        <v>171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0" t="str">
        <f t="shared" si="3"/>
        <v>HA4</v>
      </c>
      <c r="D24" s="226" t="s">
        <v>172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0" t="str">
        <f t="shared" si="3"/>
        <v>HA5</v>
      </c>
      <c r="D25" s="226" t="s">
        <v>173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0" t="str">
        <f t="shared" si="3"/>
        <v>AH3</v>
      </c>
      <c r="D26" s="226" t="s">
        <v>174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0" t="str">
        <f t="shared" si="3"/>
        <v>AH4</v>
      </c>
      <c r="D27" s="226" t="s">
        <v>175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0" t="str">
        <f t="shared" si="3"/>
        <v>KO1</v>
      </c>
      <c r="D28" s="226" t="s">
        <v>176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0" t="str">
        <f t="shared" si="3"/>
        <v>KO2</v>
      </c>
      <c r="D29" s="226" t="s">
        <v>177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0" t="str">
        <f t="shared" si="3"/>
        <v>KO3</v>
      </c>
      <c r="D30" s="226" t="s">
        <v>178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0" t="str">
        <f t="shared" si="3"/>
        <v>KO4</v>
      </c>
      <c r="D31" s="226" t="s">
        <v>179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0" t="str">
        <f t="shared" si="3"/>
        <v>KO5</v>
      </c>
      <c r="D32" s="226" t="s">
        <v>180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0" t="str">
        <f t="shared" si="3"/>
        <v>OK3</v>
      </c>
      <c r="D33" s="226" t="s">
        <v>181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0" t="str">
        <f t="shared" si="3"/>
        <v>OK4</v>
      </c>
      <c r="D34" s="226" t="s">
        <v>182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0" t="str">
        <f t="shared" si="3"/>
        <v>BD1</v>
      </c>
      <c r="D35" s="226" t="s">
        <v>183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0" t="str">
        <f t="shared" si="3"/>
        <v>BD2</v>
      </c>
      <c r="D36" s="226" t="s">
        <v>184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0" t="str">
        <f t="shared" si="3"/>
        <v>BD3</v>
      </c>
      <c r="D37" s="226" t="s">
        <v>185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0" t="str">
        <f t="shared" si="3"/>
        <v>BD4</v>
      </c>
      <c r="D38" s="226" t="s">
        <v>186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0" t="str">
        <f t="shared" si="3"/>
        <v>BD5</v>
      </c>
      <c r="D39" s="226" t="s">
        <v>187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0" t="str">
        <f t="shared" si="3"/>
        <v>DB3</v>
      </c>
      <c r="D40" s="226" t="s">
        <v>188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0" t="str">
        <f t="shared" si="3"/>
        <v>DB4</v>
      </c>
      <c r="D41" s="226" t="s">
        <v>189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0" t="str">
        <f t="shared" si="3"/>
        <v>GA1</v>
      </c>
      <c r="D42" s="226" t="s">
        <v>190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0" t="str">
        <f t="shared" si="3"/>
        <v>GA2</v>
      </c>
      <c r="D43" s="226" t="s">
        <v>191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0" t="str">
        <f t="shared" si="3"/>
        <v>GA3</v>
      </c>
      <c r="D44" s="226" t="s">
        <v>192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0" t="str">
        <f t="shared" si="3"/>
        <v>GA4</v>
      </c>
      <c r="D45" s="226" t="s">
        <v>193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0" t="str">
        <f t="shared" si="3"/>
        <v>GA5</v>
      </c>
      <c r="D46" s="226" t="s">
        <v>194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0" t="str">
        <f t="shared" si="3"/>
        <v>AG3</v>
      </c>
      <c r="D47" s="226" t="s">
        <v>195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0" t="str">
        <f t="shared" si="3"/>
        <v>AG4</v>
      </c>
      <c r="D48" s="226" t="s">
        <v>196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0" t="str">
        <f t="shared" si="3"/>
        <v>BH1</v>
      </c>
      <c r="D49" s="226" t="s">
        <v>197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0" t="str">
        <f t="shared" si="3"/>
        <v>BH2</v>
      </c>
      <c r="D50" s="226" t="s">
        <v>198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0" t="str">
        <f t="shared" si="3"/>
        <v>BH3</v>
      </c>
      <c r="D51" s="226" t="s">
        <v>199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0" t="str">
        <f t="shared" si="3"/>
        <v>BH4</v>
      </c>
      <c r="D52" s="226" t="s">
        <v>200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0" t="str">
        <f t="shared" si="3"/>
        <v>BH5</v>
      </c>
      <c r="D53" s="226" t="s">
        <v>201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0" t="str">
        <f t="shared" si="3"/>
        <v>HB3</v>
      </c>
      <c r="D54" s="226" t="s">
        <v>202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0" t="str">
        <f t="shared" si="3"/>
        <v>HB4</v>
      </c>
      <c r="D55" s="226" t="s">
        <v>203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0" t="str">
        <f t="shared" si="3"/>
        <v>WA1</v>
      </c>
      <c r="D56" s="226" t="s">
        <v>204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0" t="str">
        <f t="shared" si="3"/>
        <v>WA2</v>
      </c>
      <c r="D57" s="226" t="s">
        <v>205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0" t="str">
        <f t="shared" si="3"/>
        <v>WA3</v>
      </c>
      <c r="D58" s="226" t="s">
        <v>206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0" t="str">
        <f t="shared" si="3"/>
        <v>WA4</v>
      </c>
      <c r="D59" s="226" t="s">
        <v>207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0" t="str">
        <f t="shared" si="3"/>
        <v>WA5</v>
      </c>
      <c r="D60" s="226" t="s">
        <v>208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0" t="str">
        <f t="shared" si="3"/>
        <v>AW3</v>
      </c>
      <c r="D61" s="226" t="s">
        <v>209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0" t="str">
        <f t="shared" si="3"/>
        <v>AW4</v>
      </c>
      <c r="D62" s="226" t="s">
        <v>210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0" t="str">
        <f t="shared" si="3"/>
        <v>GB1</v>
      </c>
      <c r="D63" s="226" t="s">
        <v>211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0" t="str">
        <f t="shared" si="3"/>
        <v>GB2</v>
      </c>
      <c r="D64" s="226" t="s">
        <v>212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0" t="str">
        <f t="shared" si="3"/>
        <v>GB3</v>
      </c>
      <c r="D65" s="226" t="s">
        <v>213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0" t="str">
        <f t="shared" si="3"/>
        <v>GB4</v>
      </c>
      <c r="D66" s="226" t="s">
        <v>214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0" t="str">
        <f t="shared" si="3"/>
        <v>GB5</v>
      </c>
      <c r="D67" s="226" t="s">
        <v>215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216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0" t="str">
        <f t="shared" si="6"/>
        <v>BG4</v>
      </c>
      <c r="D69" s="226" t="s">
        <v>217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0" t="str">
        <f t="shared" si="6"/>
        <v>BA1</v>
      </c>
      <c r="D70" s="226" t="s">
        <v>218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0" t="str">
        <f t="shared" si="6"/>
        <v>BA2</v>
      </c>
      <c r="D71" s="226" t="s">
        <v>219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0" t="str">
        <f t="shared" si="6"/>
        <v>BA3</v>
      </c>
      <c r="D72" s="226" t="s">
        <v>220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0" t="str">
        <f t="shared" si="6"/>
        <v>BA4</v>
      </c>
      <c r="D73" s="226" t="s">
        <v>221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0" t="str">
        <f t="shared" si="6"/>
        <v>BA5</v>
      </c>
      <c r="D74" s="226" t="s">
        <v>222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0" t="str">
        <f t="shared" si="6"/>
        <v>AB3</v>
      </c>
      <c r="D75" s="226" t="s">
        <v>223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0" t="str">
        <f t="shared" si="6"/>
        <v>AB4</v>
      </c>
      <c r="D76" s="226" t="s">
        <v>224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0" t="str">
        <f t="shared" si="6"/>
        <v>PD1</v>
      </c>
      <c r="D77" s="226" t="s">
        <v>225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0" t="str">
        <f t="shared" si="6"/>
        <v>PD2</v>
      </c>
      <c r="D78" s="226" t="s">
        <v>226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0" t="str">
        <f t="shared" si="6"/>
        <v>PD3</v>
      </c>
      <c r="D79" s="226" t="s">
        <v>227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0" t="str">
        <f t="shared" si="6"/>
        <v>PD4</v>
      </c>
      <c r="D80" s="226" t="s">
        <v>228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0" t="str">
        <f t="shared" si="6"/>
        <v>PD5</v>
      </c>
      <c r="D81" s="226" t="s">
        <v>229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0" t="str">
        <f t="shared" si="6"/>
        <v>DP3</v>
      </c>
      <c r="D82" s="226" t="s">
        <v>230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0" t="str">
        <f t="shared" si="6"/>
        <v>DP4</v>
      </c>
      <c r="D83" s="226" t="s">
        <v>231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0" t="str">
        <f t="shared" si="6"/>
        <v>MF1</v>
      </c>
      <c r="D84" s="226" t="s">
        <v>232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0" t="str">
        <f t="shared" si="6"/>
        <v>MF2</v>
      </c>
      <c r="D85" s="226" t="s">
        <v>233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0" t="str">
        <f t="shared" si="6"/>
        <v>MF3</v>
      </c>
      <c r="D86" s="226" t="s">
        <v>234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0" t="str">
        <f t="shared" si="6"/>
        <v>MF4</v>
      </c>
      <c r="D87" s="226" t="s">
        <v>235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0" t="str">
        <f t="shared" si="6"/>
        <v>MF5</v>
      </c>
      <c r="D88" s="226" t="s">
        <v>236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0" t="str">
        <f t="shared" si="6"/>
        <v>FM3</v>
      </c>
      <c r="D89" s="226" t="s">
        <v>237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0" t="str">
        <f t="shared" si="6"/>
        <v>FM4</v>
      </c>
      <c r="D90" s="226" t="s">
        <v>238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0" t="str">
        <f t="shared" si="6"/>
        <v>HD3</v>
      </c>
      <c r="D91" s="226" t="s">
        <v>239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0" t="str">
        <f t="shared" si="6"/>
        <v>HD4</v>
      </c>
      <c r="D92" s="226" t="s">
        <v>240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241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242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8" t="s">
        <v>244</v>
      </c>
      <c r="B95" s="128" t="s">
        <v>49</v>
      </c>
      <c r="C95" s="128" t="s">
        <v>317</v>
      </c>
      <c r="D95" s="234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8" t="s">
        <v>244</v>
      </c>
      <c r="B96" s="128" t="s">
        <v>54</v>
      </c>
      <c r="C96" s="128" t="s">
        <v>322</v>
      </c>
      <c r="D96" s="234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8" t="s">
        <v>244</v>
      </c>
      <c r="B97" s="128" t="s">
        <v>59</v>
      </c>
      <c r="C97" s="128" t="s">
        <v>327</v>
      </c>
      <c r="D97" s="234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8" t="s">
        <v>244</v>
      </c>
      <c r="B98" s="128" t="s">
        <v>64</v>
      </c>
      <c r="C98" s="128" t="s">
        <v>332</v>
      </c>
      <c r="D98" s="234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8" t="s">
        <v>244</v>
      </c>
      <c r="B99" s="128" t="s">
        <v>17</v>
      </c>
      <c r="C99" s="128" t="s">
        <v>285</v>
      </c>
      <c r="D99" s="234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8" t="s">
        <v>244</v>
      </c>
      <c r="B100" s="128" t="s">
        <v>21</v>
      </c>
      <c r="C100" s="128" t="s">
        <v>289</v>
      </c>
      <c r="D100" s="234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8" t="s">
        <v>244</v>
      </c>
      <c r="B101" s="128" t="s">
        <v>25</v>
      </c>
      <c r="C101" s="128" t="s">
        <v>293</v>
      </c>
      <c r="D101" s="234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8" t="s">
        <v>244</v>
      </c>
      <c r="B102" s="128" t="s">
        <v>29</v>
      </c>
      <c r="C102" s="128" t="s">
        <v>297</v>
      </c>
      <c r="D102" s="234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8" t="s">
        <v>244</v>
      </c>
      <c r="B103" s="128" t="s">
        <v>33</v>
      </c>
      <c r="C103" s="128" t="s">
        <v>301</v>
      </c>
      <c r="D103" s="234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8" t="s">
        <v>244</v>
      </c>
      <c r="B104" s="128" t="s">
        <v>37</v>
      </c>
      <c r="C104" s="128" t="s">
        <v>305</v>
      </c>
      <c r="D104" s="234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8" t="s">
        <v>244</v>
      </c>
      <c r="B105" s="128" t="s">
        <v>41</v>
      </c>
      <c r="C105" s="128" t="s">
        <v>309</v>
      </c>
      <c r="D105" s="234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8" t="s">
        <v>244</v>
      </c>
      <c r="B106" s="128" t="s">
        <v>45</v>
      </c>
      <c r="C106" s="128" t="s">
        <v>313</v>
      </c>
      <c r="D106" s="234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8" t="s">
        <v>244</v>
      </c>
      <c r="B107" s="128" t="s">
        <v>50</v>
      </c>
      <c r="C107" s="128" t="s">
        <v>318</v>
      </c>
      <c r="D107" s="234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8" t="s">
        <v>244</v>
      </c>
      <c r="B108" s="128" t="s">
        <v>55</v>
      </c>
      <c r="C108" s="128" t="s">
        <v>323</v>
      </c>
      <c r="D108" s="234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8" t="s">
        <v>244</v>
      </c>
      <c r="B109" s="128" t="s">
        <v>60</v>
      </c>
      <c r="C109" s="128" t="s">
        <v>328</v>
      </c>
      <c r="D109" s="234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8" t="s">
        <v>244</v>
      </c>
      <c r="B110" s="128" t="s">
        <v>65</v>
      </c>
      <c r="C110" s="128" t="s">
        <v>333</v>
      </c>
      <c r="D110" s="234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8" t="s">
        <v>244</v>
      </c>
      <c r="B111" s="128" t="s">
        <v>5</v>
      </c>
      <c r="C111" s="128" t="s">
        <v>273</v>
      </c>
      <c r="D111" s="234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8" t="s">
        <v>244</v>
      </c>
      <c r="B112" s="128" t="s">
        <v>6</v>
      </c>
      <c r="C112" s="128" t="s">
        <v>274</v>
      </c>
      <c r="D112" s="234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8" t="s">
        <v>244</v>
      </c>
      <c r="B113" s="128" t="s">
        <v>7</v>
      </c>
      <c r="C113" s="128" t="s">
        <v>275</v>
      </c>
      <c r="D113" s="234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8" t="s">
        <v>244</v>
      </c>
      <c r="B114" s="128" t="s">
        <v>8</v>
      </c>
      <c r="C114" s="128" t="s">
        <v>276</v>
      </c>
      <c r="D114" s="234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8" t="s">
        <v>244</v>
      </c>
      <c r="B115" s="128" t="s">
        <v>18</v>
      </c>
      <c r="C115" s="128" t="s">
        <v>286</v>
      </c>
      <c r="D115" s="234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8" t="s">
        <v>244</v>
      </c>
      <c r="B116" s="128" t="s">
        <v>22</v>
      </c>
      <c r="C116" s="128" t="s">
        <v>290</v>
      </c>
      <c r="D116" s="234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8" t="s">
        <v>244</v>
      </c>
      <c r="B117" s="128" t="s">
        <v>26</v>
      </c>
      <c r="C117" s="128" t="s">
        <v>294</v>
      </c>
      <c r="D117" s="234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8" t="s">
        <v>244</v>
      </c>
      <c r="B118" s="128" t="s">
        <v>30</v>
      </c>
      <c r="C118" s="128" t="s">
        <v>298</v>
      </c>
      <c r="D118" s="234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8" t="s">
        <v>244</v>
      </c>
      <c r="B119" s="128" t="s">
        <v>9</v>
      </c>
      <c r="C119" s="128" t="s">
        <v>277</v>
      </c>
      <c r="D119" s="234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8" t="s">
        <v>244</v>
      </c>
      <c r="B120" s="128" t="s">
        <v>11</v>
      </c>
      <c r="C120" s="128" t="s">
        <v>279</v>
      </c>
      <c r="D120" s="234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8" t="s">
        <v>244</v>
      </c>
      <c r="B121" s="128" t="s">
        <v>13</v>
      </c>
      <c r="C121" s="128" t="s">
        <v>281</v>
      </c>
      <c r="D121" s="234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8" t="s">
        <v>244</v>
      </c>
      <c r="B122" s="128" t="s">
        <v>15</v>
      </c>
      <c r="C122" s="128" t="s">
        <v>283</v>
      </c>
      <c r="D122" s="234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8" t="s">
        <v>244</v>
      </c>
      <c r="B123" s="128" t="s">
        <v>51</v>
      </c>
      <c r="C123" s="128" t="s">
        <v>319</v>
      </c>
      <c r="D123" s="234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8" t="s">
        <v>244</v>
      </c>
      <c r="B124" s="128" t="s">
        <v>56</v>
      </c>
      <c r="C124" s="128" t="s">
        <v>324</v>
      </c>
      <c r="D124" s="234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8" t="s">
        <v>244</v>
      </c>
      <c r="B125" s="128" t="s">
        <v>61</v>
      </c>
      <c r="C125" s="128" t="s">
        <v>329</v>
      </c>
      <c r="D125" s="234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8" t="s">
        <v>244</v>
      </c>
      <c r="B126" s="128" t="s">
        <v>66</v>
      </c>
      <c r="C126" s="128" t="s">
        <v>334</v>
      </c>
      <c r="D126" s="234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8" t="s">
        <v>244</v>
      </c>
      <c r="B127" s="128" t="s">
        <v>19</v>
      </c>
      <c r="C127" s="128" t="s">
        <v>287</v>
      </c>
      <c r="D127" s="234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8" t="s">
        <v>244</v>
      </c>
      <c r="B128" s="128" t="s">
        <v>23</v>
      </c>
      <c r="C128" s="128" t="s">
        <v>291</v>
      </c>
      <c r="D128" s="234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8" t="s">
        <v>244</v>
      </c>
      <c r="B129" s="128" t="s">
        <v>27</v>
      </c>
      <c r="C129" s="128" t="s">
        <v>295</v>
      </c>
      <c r="D129" s="234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8" t="s">
        <v>244</v>
      </c>
      <c r="B130" s="128" t="s">
        <v>31</v>
      </c>
      <c r="C130" s="128" t="s">
        <v>299</v>
      </c>
      <c r="D130" s="234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8" t="s">
        <v>244</v>
      </c>
      <c r="B131" s="128" t="s">
        <v>20</v>
      </c>
      <c r="C131" s="128" t="s">
        <v>288</v>
      </c>
      <c r="D131" s="234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8" t="s">
        <v>244</v>
      </c>
      <c r="B132" s="128" t="s">
        <v>24</v>
      </c>
      <c r="C132" s="128" t="s">
        <v>292</v>
      </c>
      <c r="D132" s="234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8" t="s">
        <v>244</v>
      </c>
      <c r="B133" s="128" t="s">
        <v>28</v>
      </c>
      <c r="C133" s="128" t="s">
        <v>296</v>
      </c>
      <c r="D133" s="234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8" t="s">
        <v>244</v>
      </c>
      <c r="B134" s="128" t="s">
        <v>32</v>
      </c>
      <c r="C134" s="128" t="s">
        <v>300</v>
      </c>
      <c r="D134" s="234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8" t="s">
        <v>244</v>
      </c>
      <c r="B135" s="128" t="s">
        <v>34</v>
      </c>
      <c r="C135" s="128" t="s">
        <v>302</v>
      </c>
      <c r="D135" s="234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8" t="s">
        <v>244</v>
      </c>
      <c r="B136" s="128" t="s">
        <v>38</v>
      </c>
      <c r="C136" s="128" t="s">
        <v>306</v>
      </c>
      <c r="D136" s="234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8" t="s">
        <v>244</v>
      </c>
      <c r="B137" s="128" t="s">
        <v>42</v>
      </c>
      <c r="C137" s="128" t="s">
        <v>310</v>
      </c>
      <c r="D137" s="234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8" t="s">
        <v>244</v>
      </c>
      <c r="B138" s="128" t="s">
        <v>46</v>
      </c>
      <c r="C138" s="128" t="s">
        <v>314</v>
      </c>
      <c r="D138" s="234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8" t="s">
        <v>244</v>
      </c>
      <c r="B139" s="128" t="s">
        <v>35</v>
      </c>
      <c r="C139" s="128" t="s">
        <v>303</v>
      </c>
      <c r="D139" s="234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8" t="s">
        <v>244</v>
      </c>
      <c r="B140" s="128" t="s">
        <v>39</v>
      </c>
      <c r="C140" s="128" t="s">
        <v>307</v>
      </c>
      <c r="D140" s="234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8" t="s">
        <v>244</v>
      </c>
      <c r="B141" s="128" t="s">
        <v>43</v>
      </c>
      <c r="C141" s="128" t="s">
        <v>311</v>
      </c>
      <c r="D141" s="234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8" t="s">
        <v>244</v>
      </c>
      <c r="B142" s="128" t="s">
        <v>47</v>
      </c>
      <c r="C142" s="128" t="s">
        <v>315</v>
      </c>
      <c r="D142" s="234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8" t="s">
        <v>244</v>
      </c>
      <c r="B143" s="128" t="s">
        <v>10</v>
      </c>
      <c r="C143" s="128" t="s">
        <v>278</v>
      </c>
      <c r="D143" s="234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8" t="s">
        <v>244</v>
      </c>
      <c r="B144" s="128" t="s">
        <v>12</v>
      </c>
      <c r="C144" s="128" t="s">
        <v>280</v>
      </c>
      <c r="D144" s="234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8" t="s">
        <v>244</v>
      </c>
      <c r="B145" s="128" t="s">
        <v>14</v>
      </c>
      <c r="C145" s="128" t="s">
        <v>282</v>
      </c>
      <c r="D145" s="234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8" t="s">
        <v>244</v>
      </c>
      <c r="B146" s="128" t="s">
        <v>16</v>
      </c>
      <c r="C146" s="128" t="s">
        <v>284</v>
      </c>
      <c r="D146" s="234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8" t="s">
        <v>244</v>
      </c>
      <c r="B147" s="128" t="s">
        <v>36</v>
      </c>
      <c r="C147" s="128" t="s">
        <v>304</v>
      </c>
      <c r="D147" s="234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8" t="s">
        <v>244</v>
      </c>
      <c r="B148" s="128" t="s">
        <v>40</v>
      </c>
      <c r="C148" s="128" t="s">
        <v>308</v>
      </c>
      <c r="D148" s="234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8" t="s">
        <v>244</v>
      </c>
      <c r="B149" s="128" t="s">
        <v>44</v>
      </c>
      <c r="C149" s="128" t="s">
        <v>312</v>
      </c>
      <c r="D149" s="234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8" t="s">
        <v>244</v>
      </c>
      <c r="B150" s="128" t="s">
        <v>48</v>
      </c>
      <c r="C150" s="128" t="s">
        <v>316</v>
      </c>
      <c r="D150" s="234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8" t="s">
        <v>244</v>
      </c>
      <c r="B151" s="128" t="s">
        <v>52</v>
      </c>
      <c r="C151" s="128" t="s">
        <v>320</v>
      </c>
      <c r="D151" s="234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8" t="s">
        <v>244</v>
      </c>
      <c r="B152" s="128" t="s">
        <v>57</v>
      </c>
      <c r="C152" s="128" t="s">
        <v>325</v>
      </c>
      <c r="D152" s="234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8" t="s">
        <v>244</v>
      </c>
      <c r="B153" s="128" t="s">
        <v>62</v>
      </c>
      <c r="C153" s="128" t="s">
        <v>330</v>
      </c>
      <c r="D153" s="234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8" t="s">
        <v>244</v>
      </c>
      <c r="B154" s="128" t="s">
        <v>67</v>
      </c>
      <c r="C154" s="128" t="s">
        <v>335</v>
      </c>
      <c r="D154" s="234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8" t="s">
        <v>244</v>
      </c>
      <c r="B155" s="128" t="s">
        <v>53</v>
      </c>
      <c r="C155" s="128" t="s">
        <v>321</v>
      </c>
      <c r="D155" s="234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8" t="s">
        <v>244</v>
      </c>
      <c r="B156" s="128" t="s">
        <v>58</v>
      </c>
      <c r="C156" s="128" t="s">
        <v>326</v>
      </c>
      <c r="D156" s="234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8" t="s">
        <v>244</v>
      </c>
      <c r="B157" s="128" t="s">
        <v>63</v>
      </c>
      <c r="C157" s="128" t="s">
        <v>331</v>
      </c>
      <c r="D157" s="234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8" t="s">
        <v>244</v>
      </c>
      <c r="B158" s="128" t="s">
        <v>68</v>
      </c>
      <c r="C158" s="128" t="s">
        <v>336</v>
      </c>
      <c r="D158" s="234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topLeftCell="A9" zoomScale="80" zoomScaleNormal="80" workbookViewId="0">
      <selection activeCell="T12" sqref="T12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e-regio GmbH &amp; Co. KG</v>
      </c>
      <c r="D4" s="76"/>
      <c r="G4" s="76"/>
      <c r="I4" s="76"/>
      <c r="J4" s="77"/>
      <c r="M4" s="86" t="s">
        <v>544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Netzbetreiber!D28</f>
        <v>e-regio</v>
      </c>
      <c r="D5" s="37"/>
      <c r="E5" s="76"/>
      <c r="F5" s="76"/>
      <c r="G5" s="76"/>
      <c r="I5" s="76"/>
      <c r="J5" s="76"/>
      <c r="K5" s="76"/>
      <c r="L5" s="76"/>
      <c r="M5" s="88" t="s">
        <v>513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>
        <f>Netzbetreiber!$D$11</f>
        <v>987011300009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461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50" t="s">
        <v>588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13">
        <f>MIN(SUMPRODUCT($M$11:$AD$11,M12:AD12),1)</f>
        <v>1</v>
      </c>
      <c r="F12" s="31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14">
        <f t="shared" ref="E13:E33" si="0">MIN(SUMPRODUCT($M$11:$AD$11,M13:AD13),1)</f>
        <v>0</v>
      </c>
      <c r="F13" s="31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14">
        <f t="shared" si="0"/>
        <v>0</v>
      </c>
      <c r="F14" s="31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14">
        <f t="shared" si="0"/>
        <v>0</v>
      </c>
      <c r="F15" s="31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14">
        <f t="shared" si="0"/>
        <v>1</v>
      </c>
      <c r="F16" s="31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14">
        <f t="shared" si="0"/>
        <v>1</v>
      </c>
      <c r="F17" s="31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14">
        <f t="shared" si="0"/>
        <v>1</v>
      </c>
      <c r="F18" s="31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14">
        <f t="shared" si="0"/>
        <v>1</v>
      </c>
      <c r="F19" s="31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654</v>
      </c>
      <c r="C20" s="117"/>
      <c r="D20" s="111">
        <v>12</v>
      </c>
      <c r="E20" s="314">
        <f t="shared" si="0"/>
        <v>1</v>
      </c>
      <c r="F20" s="31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14">
        <f t="shared" si="0"/>
        <v>1</v>
      </c>
      <c r="F21" s="31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14">
        <f t="shared" si="0"/>
        <v>1</v>
      </c>
      <c r="F22" s="31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14">
        <f t="shared" si="0"/>
        <v>1</v>
      </c>
      <c r="F23" s="31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14">
        <f t="shared" si="0"/>
        <v>0</v>
      </c>
      <c r="F24" s="31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14">
        <f t="shared" si="0"/>
        <v>0</v>
      </c>
      <c r="F25" s="31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14">
        <f t="shared" si="0"/>
        <v>1</v>
      </c>
      <c r="F26" s="31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14">
        <f t="shared" si="0"/>
        <v>0</v>
      </c>
      <c r="F27" s="31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14">
        <f t="shared" si="0"/>
        <v>1</v>
      </c>
      <c r="F28" s="31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14">
        <f t="shared" si="0"/>
        <v>0</v>
      </c>
      <c r="F29" s="31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14">
        <f t="shared" si="0"/>
        <v>0</v>
      </c>
      <c r="F30" s="31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14">
        <f t="shared" si="0"/>
        <v>1</v>
      </c>
      <c r="F31" s="31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14">
        <f t="shared" si="0"/>
        <v>1</v>
      </c>
      <c r="F32" s="31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15">
        <f t="shared" si="0"/>
        <v>0</v>
      </c>
      <c r="F33" s="31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8" customWidth="1"/>
    <col min="16" max="16" width="16.5703125" style="236" customWidth="1"/>
    <col min="17" max="16384" width="11.42578125" style="236"/>
  </cols>
  <sheetData>
    <row r="1" spans="1:16" s="235" customFormat="1">
      <c r="A1" s="131" t="s">
        <v>458</v>
      </c>
      <c r="B1" s="128"/>
      <c r="D1" s="216" t="s">
        <v>550</v>
      </c>
    </row>
    <row r="2" spans="1:16">
      <c r="A2" s="236"/>
      <c r="B2" s="235" t="s">
        <v>459</v>
      </c>
    </row>
    <row r="3" spans="1:16" ht="20.100000000000001" customHeight="1">
      <c r="A3" s="352" t="s">
        <v>248</v>
      </c>
      <c r="B3" s="237" t="s">
        <v>85</v>
      </c>
      <c r="C3" s="238"/>
      <c r="D3" s="354" t="s">
        <v>460</v>
      </c>
      <c r="E3" s="355"/>
      <c r="F3" s="355"/>
      <c r="G3" s="355"/>
      <c r="H3" s="355"/>
      <c r="I3" s="355"/>
      <c r="J3" s="356"/>
      <c r="K3" s="239"/>
      <c r="L3" s="239"/>
      <c r="M3" s="239"/>
      <c r="N3" s="239"/>
      <c r="O3" s="240"/>
      <c r="P3" s="239"/>
    </row>
    <row r="4" spans="1:16" ht="20.100000000000001" customHeight="1">
      <c r="A4" s="353"/>
      <c r="B4" s="241"/>
      <c r="C4" s="242"/>
      <c r="D4" s="243" t="s">
        <v>86</v>
      </c>
      <c r="E4" s="243" t="s">
        <v>87</v>
      </c>
      <c r="F4" s="243" t="s">
        <v>88</v>
      </c>
      <c r="G4" s="243" t="s">
        <v>89</v>
      </c>
      <c r="H4" s="243" t="s">
        <v>90</v>
      </c>
      <c r="I4" s="243" t="s">
        <v>91</v>
      </c>
      <c r="J4" s="243" t="s">
        <v>92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93</v>
      </c>
      <c r="C5" s="242"/>
      <c r="D5" s="243" t="s">
        <v>94</v>
      </c>
      <c r="E5" s="243" t="s">
        <v>95</v>
      </c>
      <c r="F5" s="243" t="s">
        <v>96</v>
      </c>
      <c r="G5" s="243" t="s">
        <v>97</v>
      </c>
      <c r="H5" s="243" t="s">
        <v>98</v>
      </c>
      <c r="I5" s="243" t="s">
        <v>99</v>
      </c>
      <c r="J5" s="243" t="s">
        <v>100</v>
      </c>
      <c r="K5" s="243" t="s">
        <v>101</v>
      </c>
      <c r="L5" s="244" t="s">
        <v>102</v>
      </c>
      <c r="M5" s="244" t="s">
        <v>103</v>
      </c>
      <c r="N5" s="246" t="s">
        <v>146</v>
      </c>
      <c r="O5" s="246" t="s">
        <v>250</v>
      </c>
      <c r="P5" s="247" t="s">
        <v>249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104</v>
      </c>
      <c r="C7" s="251" t="s">
        <v>105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101</v>
      </c>
      <c r="M7" s="253">
        <f t="shared" ref="M7:M21" si="0">MAX(D7:J7)</f>
        <v>1</v>
      </c>
      <c r="N7" s="254" t="s">
        <v>368</v>
      </c>
      <c r="O7" s="249"/>
      <c r="P7" s="243"/>
    </row>
    <row r="8" spans="1:16" ht="21" customHeight="1">
      <c r="A8" s="250">
        <v>2</v>
      </c>
      <c r="B8" s="243" t="s">
        <v>106</v>
      </c>
      <c r="C8" s="251" t="s">
        <v>107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101</v>
      </c>
      <c r="M8" s="253">
        <f t="shared" si="0"/>
        <v>1</v>
      </c>
      <c r="N8" s="254" t="s">
        <v>368</v>
      </c>
      <c r="O8" s="249"/>
      <c r="P8" s="243"/>
    </row>
    <row r="9" spans="1:16" ht="21" customHeight="1">
      <c r="A9" s="250">
        <v>3</v>
      </c>
      <c r="B9" s="243" t="s">
        <v>246</v>
      </c>
      <c r="C9" s="255" t="s">
        <v>4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101</v>
      </c>
      <c r="M9" s="253">
        <f t="shared" ref="M9" si="1">MAX(D9:J9)</f>
        <v>1</v>
      </c>
      <c r="N9" s="254" t="s">
        <v>4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108</v>
      </c>
      <c r="C11" s="259" t="s">
        <v>109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95</v>
      </c>
      <c r="M11" s="253">
        <f t="shared" si="0"/>
        <v>1.0522626697461936</v>
      </c>
      <c r="N11" s="254" t="s">
        <v>253</v>
      </c>
      <c r="O11" s="249" t="s">
        <v>251</v>
      </c>
      <c r="P11" s="243"/>
    </row>
    <row r="12" spans="1:16">
      <c r="A12" s="250">
        <v>5</v>
      </c>
      <c r="B12" s="243" t="s">
        <v>110</v>
      </c>
      <c r="C12" s="259" t="s">
        <v>111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94</v>
      </c>
      <c r="M12" s="253">
        <f t="shared" si="0"/>
        <v>1.0358469949391176</v>
      </c>
      <c r="N12" s="254" t="s">
        <v>253</v>
      </c>
      <c r="O12" s="249" t="s">
        <v>251</v>
      </c>
      <c r="P12" s="243"/>
    </row>
    <row r="13" spans="1:16">
      <c r="A13" s="250">
        <v>6</v>
      </c>
      <c r="B13" s="243" t="s">
        <v>112</v>
      </c>
      <c r="C13" s="259" t="s">
        <v>113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94</v>
      </c>
      <c r="M13" s="253">
        <f t="shared" si="0"/>
        <v>1.069856584592316</v>
      </c>
      <c r="N13" s="254" t="s">
        <v>253</v>
      </c>
      <c r="O13" s="249" t="s">
        <v>251</v>
      </c>
      <c r="P13" s="243"/>
    </row>
    <row r="14" spans="1:16" ht="21" customHeight="1">
      <c r="A14" s="250">
        <v>7</v>
      </c>
      <c r="B14" s="243" t="s">
        <v>114</v>
      </c>
      <c r="C14" s="259" t="s">
        <v>115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94</v>
      </c>
      <c r="M14" s="253">
        <f t="shared" si="0"/>
        <v>1.1052461688999999</v>
      </c>
      <c r="N14" s="254" t="s">
        <v>253</v>
      </c>
      <c r="O14" s="249" t="s">
        <v>251</v>
      </c>
      <c r="P14" s="243"/>
    </row>
    <row r="15" spans="1:16" ht="21" customHeight="1">
      <c r="A15" s="250">
        <v>8</v>
      </c>
      <c r="B15" s="243" t="s">
        <v>116</v>
      </c>
      <c r="C15" s="259" t="s">
        <v>117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95</v>
      </c>
      <c r="M15" s="253">
        <f t="shared" si="0"/>
        <v>1.0389446761000001</v>
      </c>
      <c r="N15" s="254" t="s">
        <v>253</v>
      </c>
      <c r="O15" s="249" t="s">
        <v>251</v>
      </c>
      <c r="P15" s="243"/>
    </row>
    <row r="16" spans="1:16" ht="21" customHeight="1">
      <c r="A16" s="250">
        <v>9</v>
      </c>
      <c r="B16" s="243" t="s">
        <v>122</v>
      </c>
      <c r="C16" s="259" t="s">
        <v>123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96</v>
      </c>
      <c r="M16" s="253">
        <f>MAX(D16:J16)</f>
        <v>1.2706602107</v>
      </c>
      <c r="N16" s="254" t="s">
        <v>253</v>
      </c>
      <c r="O16" s="249" t="s">
        <v>251</v>
      </c>
      <c r="P16" s="243"/>
    </row>
    <row r="17" spans="1:16" ht="21" customHeight="1">
      <c r="A17" s="250">
        <v>10</v>
      </c>
      <c r="B17" s="243" t="s">
        <v>118</v>
      </c>
      <c r="C17" s="260" t="s">
        <v>119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99</v>
      </c>
      <c r="M17" s="253">
        <f t="shared" si="0"/>
        <v>1.0355882019</v>
      </c>
      <c r="N17" s="254" t="s">
        <v>253</v>
      </c>
      <c r="O17" s="249" t="s">
        <v>252</v>
      </c>
      <c r="P17" s="243" t="s">
        <v>116</v>
      </c>
    </row>
    <row r="18" spans="1:16" ht="21" customHeight="1">
      <c r="A18" s="250">
        <v>11</v>
      </c>
      <c r="B18" s="243" t="s">
        <v>120</v>
      </c>
      <c r="C18" s="260" t="s">
        <v>121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98</v>
      </c>
      <c r="M18" s="253">
        <f t="shared" si="0"/>
        <v>1.1401797148999999</v>
      </c>
      <c r="N18" s="254" t="s">
        <v>253</v>
      </c>
      <c r="O18" s="249" t="s">
        <v>252</v>
      </c>
      <c r="P18" s="243" t="s">
        <v>122</v>
      </c>
    </row>
    <row r="19" spans="1:16" ht="21" customHeight="1">
      <c r="A19" s="250">
        <v>12</v>
      </c>
      <c r="B19" s="243" t="s">
        <v>124</v>
      </c>
      <c r="C19" s="260" t="s">
        <v>125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97</v>
      </c>
      <c r="M19" s="253">
        <f t="shared" si="0"/>
        <v>1.0552346931000001</v>
      </c>
      <c r="N19" s="254" t="s">
        <v>253</v>
      </c>
      <c r="O19" s="249" t="s">
        <v>252</v>
      </c>
      <c r="P19" s="243" t="s">
        <v>108</v>
      </c>
    </row>
    <row r="20" spans="1:16" ht="21" customHeight="1">
      <c r="A20" s="250">
        <v>13</v>
      </c>
      <c r="B20" s="243" t="s">
        <v>126</v>
      </c>
      <c r="C20" s="260" t="s">
        <v>127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94</v>
      </c>
      <c r="M20" s="253">
        <f t="shared" si="0"/>
        <v>1.0865859003</v>
      </c>
      <c r="N20" s="254" t="s">
        <v>253</v>
      </c>
      <c r="O20" s="249" t="s">
        <v>252</v>
      </c>
      <c r="P20" s="243" t="s">
        <v>110</v>
      </c>
    </row>
    <row r="21" spans="1:16" ht="24.75" customHeight="1">
      <c r="A21" s="250">
        <v>14</v>
      </c>
      <c r="B21" s="243" t="s">
        <v>128</v>
      </c>
      <c r="C21" s="260" t="s">
        <v>129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95</v>
      </c>
      <c r="M21" s="253">
        <f t="shared" si="0"/>
        <v>1.0522626697461936</v>
      </c>
      <c r="N21" s="254" t="s">
        <v>253</v>
      </c>
      <c r="O21" s="249" t="s">
        <v>252</v>
      </c>
      <c r="P21" s="243" t="s">
        <v>116</v>
      </c>
    </row>
    <row r="22" spans="1:16" ht="25.5">
      <c r="A22" s="250">
        <v>15</v>
      </c>
      <c r="B22" s="243" t="s">
        <v>130</v>
      </c>
      <c r="C22" s="261" t="s">
        <v>131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95</v>
      </c>
      <c r="M22" s="253">
        <f>MAX(D22:J22)</f>
        <v>1.03</v>
      </c>
      <c r="N22" s="254" t="s">
        <v>253</v>
      </c>
      <c r="O22" s="249" t="s">
        <v>252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#02</vt:lpstr>
      <vt:lpstr>SLP-Temp-Gebiet Weilerswist-Lom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Friedl, Julia</cp:lastModifiedBy>
  <cp:lastPrinted>2015-07-20T06:35:02Z</cp:lastPrinted>
  <dcterms:created xsi:type="dcterms:W3CDTF">2015-01-15T05:25:41Z</dcterms:created>
  <dcterms:modified xsi:type="dcterms:W3CDTF">2016-07-04T09:32:25Z</dcterms:modified>
</cp:coreProperties>
</file>