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N-E-D\Netzmanagement Gas\Bilanzkreismanagement\Allokation\"/>
    </mc:Choice>
  </mc:AlternateContent>
  <xr:revisionPtr revIDLastSave="0" documentId="14_{728FCA4F-256F-4520-A7FB-9EC410B5FE57}" xr6:coauthVersionLast="45" xr6:coauthVersionMax="45" xr10:uidLastSave="{00000000-0000-0000-0000-000000000000}"/>
  <bookViews>
    <workbookView xWindow="-120" yWindow="-120" windowWidth="23280" windowHeight="12750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7" l="1"/>
  <c r="F32" i="17"/>
  <c r="F61" i="17" l="1"/>
  <c r="G61" i="17"/>
  <c r="H61" i="17"/>
  <c r="I61" i="17"/>
  <c r="J61" i="17"/>
  <c r="K61" i="17"/>
  <c r="L61" i="17"/>
  <c r="M61" i="17"/>
  <c r="N61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G31" i="18" s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H21" i="18"/>
  <c r="K21" i="18"/>
  <c r="H31" i="18"/>
  <c r="K31" i="18"/>
  <c r="J31" i="18"/>
  <c r="F31" i="18"/>
  <c r="H53" i="18"/>
  <c r="H63" i="18"/>
  <c r="D66" i="18" s="1"/>
  <c r="D21" i="15"/>
  <c r="C20" i="15"/>
  <c r="I31" i="18" l="1"/>
  <c r="N31" i="18"/>
  <c r="L31" i="18"/>
  <c r="E31" i="18" s="1"/>
  <c r="L21" i="18"/>
  <c r="M31" i="18"/>
  <c r="G21" i="18"/>
  <c r="I21" i="18"/>
  <c r="M21" i="18"/>
  <c r="D56" i="18"/>
  <c r="J55" i="18" s="1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H12" i="7"/>
  <c r="I11" i="7"/>
  <c r="F25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<sst xmlns="http://schemas.openxmlformats.org/spreadsheetml/2006/main" count="1390" uniqueCount="680">
  <si>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</si>
  <si>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</si>
  <si>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</si>
  <si>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</si>
  <si>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</si>
  <si>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</si>
  <si>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</si>
  <si>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</si>
  <si>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</si>
  <si>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</si>
  <si>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</si>
  <si>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</si>
  <si>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</si>
  <si>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</si>
  <si>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</si>
  <si>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</si>
  <si>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</si>
  <si>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</si>
  <si>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</si>
  <si>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</si>
  <si>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</si>
  <si>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</si>
  <si>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</si>
  <si>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</si>
  <si>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</si>
  <si>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</si>
  <si>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</si>
  <si>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</si>
  <si>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</si>
  <si>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</si>
  <si>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</si>
  <si>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</si>
  <si>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</si>
  <si>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</si>
  <si>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</si>
  <si>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</si>
  <si>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</si>
  <si>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</si>
  <si>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</si>
  <si>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</si>
  <si>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</si>
  <si>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</si>
  <si>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</si>
  <si>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</si>
  <si>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</si>
  <si>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</si>
  <si>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</si>
  <si>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</si>
  <si>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</si>
  <si>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</si>
  <si>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</si>
  <si>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</si>
  <si>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</si>
  <si>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</si>
  <si>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</si>
  <si>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</si>
  <si>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</si>
  <si>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</si>
  <si>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</si>
  <si>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</si>
  <si>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</si>
  <si>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</si>
  <si>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</si>
  <si>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</si>
  <si>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</si>
  <si>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</si>
  <si>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</si>
  <si>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</si>
  <si>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</si>
  <si>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</si>
  <si>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</si>
  <si>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</si>
  <si>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</si>
  <si>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</si>
  <si>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</si>
  <si>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</si>
  <si>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</si>
  <si>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</si>
  <si>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</si>
  <si>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</si>
  <si>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</si>
  <si>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</si>
  <si>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</si>
  <si>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</si>
  <si>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</si>
  <si>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</si>
  <si>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</si>
  <si>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</si>
  <si>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</si>
  <si>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</si>
  <si>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</si>
  <si>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</si>
  <si>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</si>
  <si>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</si>
  <si>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</si>
  <si>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</si>
  <si>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</si>
  <si>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</si>
  <si>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</si>
  <si>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</si>
  <si>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</si>
  <si>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</si>
  <si>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</si>
  <si>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</si>
  <si>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</si>
  <si>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</si>
  <si>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</si>
  <si>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</si>
  <si>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</si>
  <si>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</si>
  <si>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</si>
  <si>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</si>
  <si>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</si>
  <si>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</si>
  <si>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</si>
  <si>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</si>
  <si>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</si>
  <si>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</si>
  <si>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</si>
  <si>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</si>
  <si>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</si>
  <si>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</si>
  <si>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</si>
  <si>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</si>
  <si>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</si>
  <si>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</si>
  <si>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</si>
  <si>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</si>
  <si>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</si>
  <si>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</si>
  <si>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</si>
  <si>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</si>
  <si>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</si>
  <si>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</si>
  <si>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</si>
  <si>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</si>
  <si>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</si>
  <si>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</si>
  <si>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</si>
  <si>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</si>
  <si>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</si>
  <si>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</si>
  <si>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</si>
  <si>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</si>
  <si>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</si>
  <si>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</si>
  <si>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</si>
  <si>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</si>
  <si>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</si>
  <si>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</si>
  <si>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</si>
  <si>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</si>
  <si>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</si>
  <si>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</si>
  <si>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</si>
  <si>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</si>
  <si>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</si>
  <si>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</si>
  <si>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</si>
  <si>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</si>
  <si>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</si>
  <si>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</si>
  <si>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</si>
  <si>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</si>
  <si>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</si>
  <si>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</si>
  <si>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</si>
  <si>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</si>
  <si>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</si>
  <si>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</si>
  <si>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</si>
  <si>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</si>
  <si>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</si>
  <si>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</si>
  <si>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</si>
  <si>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</si>
  <si>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</si>
  <si>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</si>
  <si>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</si>
  <si>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</si>
  <si>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</si>
  <si>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</si>
  <si>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</si>
  <si>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</si>
  <si>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</si>
  <si>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</si>
  <si>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</si>
  <si>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</si>
  <si>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</si>
  <si>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</si>
  <si>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</si>
  <si>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</si>
  <si>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</si>
  <si>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</si>
  <si>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</si>
  <si>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</si>
  <si>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</si>
  <si>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</si>
  <si>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</si>
  <si>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</si>
  <si>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</si>
  <si>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</si>
  <si>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</si>
  <si>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</si>
  <si>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</si>
  <si>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</si>
  <si>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</si>
  <si>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</si>
  <si>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</si>
  <si>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</si>
  <si>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</si>
  <si>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</si>
  <si>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</si>
  <si>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</si>
  <si>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</si>
  <si>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</si>
  <si>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</si>
  <si>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</si>
  <si>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</si>
  <si>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</si>
  <si>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</si>
  <si>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</si>
  <si>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</si>
  <si>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</si>
  <si>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</si>
  <si>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</si>
  <si>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</si>
  <si>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</si>
  <si>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</si>
  <si>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</si>
  <si>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</si>
  <si>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</si>
  <si>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</si>
  <si>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</si>
  <si>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</si>
  <si>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</si>
  <si>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</si>
  <si>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</si>
  <si>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</si>
  <si>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</si>
  <si>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</si>
  <si>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</si>
  <si>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</si>
  <si>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</si>
  <si>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</si>
  <si>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</si>
  <si>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</si>
  <si>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</si>
  <si>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</si>
  <si>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</si>
  <si>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</si>
  <si>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</si>
  <si>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</si>
  <si>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</si>
  <si>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</si>
  <si>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</si>
  <si>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</si>
  <si>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</si>
  <si>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</si>
  <si>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</si>
  <si>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</si>
  <si>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</si>
  <si>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</si>
  <si>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</si>
  <si>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</si>
  <si>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</si>
  <si>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</si>
  <si>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</si>
  <si>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</si>
  <si>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</si>
  <si>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</si>
  <si>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</si>
  <si>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</si>
  <si>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</si>
  <si>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</si>
  <si>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</si>
  <si>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</si>
  <si>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</si>
  <si>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</si>
  <si>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</si>
  <si>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</si>
  <si>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</si>
  <si>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</si>
  <si>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</si>
  <si>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</si>
  <si>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</si>
  <si>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</si>
  <si>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</si>
  <si>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</si>
  <si>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</si>
  <si>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</si>
  <si>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</si>
  <si>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</si>
  <si>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</si>
  <si>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</si>
  <si>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</si>
  <si>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</si>
  <si>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</si>
  <si>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</si>
  <si>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</si>
  <si>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</si>
  <si>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</si>
  <si>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</si>
  <si>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</si>
  <si>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</si>
  <si>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</si>
  <si>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</si>
  <si>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</si>
  <si>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</si>
  <si>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</si>
  <si>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</si>
  <si>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</si>
  <si>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</si>
  <si>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</si>
  <si>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</si>
  <si>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</si>
  <si>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</si>
  <si>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</si>
  <si>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</si>
  <si>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</si>
  <si>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</si>
  <si>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</si>
  <si>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</si>
  <si>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</si>
  <si>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</si>
  <si>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</si>
  <si>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</si>
  <si>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</si>
  <si>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</si>
  <si>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</si>
  <si>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</si>
  <si>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</si>
  <si>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</si>
  <si>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</si>
  <si>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</si>
  <si>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</si>
  <si>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</si>
  <si>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</si>
  <si>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</si>
  <si>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</si>
  <si>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</si>
  <si>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</si>
  <si>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</si>
  <si>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</si>
  <si>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</si>
  <si>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</si>
  <si>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</si>
  <si>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</si>
  <si>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</si>
  <si>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</si>
  <si>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</si>
  <si>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</si>
  <si>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</si>
  <si>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</si>
  <si>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</si>
  <si>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</si>
  <si>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</si>
  <si>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</si>
  <si>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</si>
  <si>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</si>
  <si>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</si>
  <si>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</si>
  <si>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</si>
  <si>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</si>
  <si>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</si>
  <si>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</si>
  <si>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</si>
  <si>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</si>
  <si>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</si>
  <si>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</si>
  <si>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</si>
  <si>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</si>
  <si>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</si>
  <si>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</si>
  <si>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</si>
  <si>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</si>
  <si>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</si>
  <si>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</si>
  <si>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</si>
  <si>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</si>
  <si>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</si>
  <si>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</si>
  <si>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</si>
  <si>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</si>
  <si>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</si>
  <si>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</si>
  <si>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</si>
  <si>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</si>
  <si>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</si>
  <si>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</si>
  <si>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</si>
  <si>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</si>
  <si>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</si>
  <si>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</si>
  <si>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</si>
  <si>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</si>
  <si>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</si>
  <si>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</si>
  <si>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</si>
  <si>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</si>
  <si>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</si>
  <si>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</si>
  <si>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</si>
  <si>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</si>
  <si>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</si>
  <si>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</si>
  <si>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</si>
  <si>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</si>
  <si>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</si>
  <si>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</si>
  <si>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</si>
  <si>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</si>
  <si>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</si>
  <si>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</si>
  <si>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</si>
  <si>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</si>
  <si>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</si>
  <si>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</si>
  <si>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</si>
  <si>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</si>
  <si>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</si>
  <si>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</si>
  <si>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</si>
  <si>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</si>
  <si>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</si>
  <si>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</si>
  <si>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</si>
  <si>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</si>
  <si>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</si>
  <si>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</si>
  <si>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</si>
  <si>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</si>
  <si>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</si>
  <si>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</si>
  <si>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</si>
  <si>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</si>
  <si>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</si>
  <si>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</si>
  <si>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</si>
  <si>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</si>
  <si>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</si>
  <si>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</si>
  <si>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</si>
  <si>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</si>
  <si>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</si>
  <si>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</si>
  <si>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</si>
  <si>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</si>
  <si>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</si>
  <si>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</si>
  <si>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</si>
  <si>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</si>
  <si>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</si>
  <si>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</si>
  <si>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</si>
  <si>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</si>
  <si>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</si>
  <si>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</si>
  <si>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</si>
  <si>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</si>
  <si>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</si>
  <si>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</si>
  <si>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</si>
  <si>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</si>
  <si>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</si>
  <si>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</si>
  <si>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</si>
  <si>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</si>
  <si>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</si>
  <si>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</si>
  <si>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</si>
  <si>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</si>
  <si>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</si>
  <si>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</si>
  <si>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</si>
  <si>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</si>
  <si>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</si>
  <si>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</si>
  <si>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</si>
  <si>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</si>
  <si>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</si>
  <si>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</si>
  <si>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</si>
  <si>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</si>
  <si>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</si>
  <si>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</si>
  <si>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</si>
  <si>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</si>
  <si>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</si>
  <si>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</si>
  <si>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</si>
  <si>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</si>
  <si>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</si>
  <si>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</si>
  <si>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</si>
  <si>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</si>
  <si>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</si>
  <si>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</si>
  <si>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</si>
  <si>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</si>
  <si>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</si>
  <si>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</si>
  <si>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</si>
  <si>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</si>
  <si>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</si>
  <si>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</si>
  <si>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</si>
  <si>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</si>
  <si>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</si>
  <si>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</si>
  <si>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</si>
  <si>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</si>
  <si>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</si>
  <si>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</si>
  <si>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</si>
  <si>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</si>
  <si>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</si>
  <si>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</si>
  <si>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</si>
  <si>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</si>
  <si>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</si>
  <si>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</si>
  <si>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</si>
  <si>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</si>
  <si>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</si>
  <si>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</si>
  <si>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</si>
  <si>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</si>
  <si>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</si>
  <si>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</si>
  <si>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</si>
  <si>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</si>
  <si>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</si>
  <si>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</si>
  <si>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</si>
  <si>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</si>
  <si>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</si>
  <si>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</si>
  <si>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</si>
  <si>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</si>
  <si>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</si>
  <si>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</si>
  <si>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</si>
  <si>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</si>
  <si>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</si>
  <si>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</si>
  <si>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</si>
  <si>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</si>
  <si>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</si>
  <si>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</si>
  <si>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</si>
  <si>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</si>
  <si>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</si>
  <si>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</si>
  <si>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</si>
  <si>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</si>
  <si>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</si>
  <si>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</si>
  <si>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</si>
  <si>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</si>
  <si>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</si>
  <si>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</si>
  <si>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</si>
  <si>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</si>
  <si>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</si>
  <si>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</si>
  <si>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</si>
  <si>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</si>
  <si>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</si>
  <si>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</si>
  <si>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</si>
  <si>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</si>
  <si>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</si>
  <si>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</si>
  <si>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</si>
  <si>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</si>
  <si>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</si>
  <si>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</si>
  <si>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</si>
  <si>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</si>
  <si>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</si>
  <si>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</si>
  <si>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</si>
  <si>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</si>
  <si>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</si>
  <si>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</si>
  <si>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</si>
  <si>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</si>
  <si>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</si>
  <si>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</si>
  <si>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</si>
  <si>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</si>
  <si>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</si>
  <si>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</si>
  <si>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</si>
  <si>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</si>
  <si>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</si>
  <si>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</si>
  <si>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</si>
  <si>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</si>
  <si>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</si>
  <si>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</si>
  <si>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</si>
  <si>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</si>
  <si>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</si>
  <si>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</si>
  <si>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</si>
  <si>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</si>
  <si>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</si>
  <si>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</si>
  <si>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</si>
  <si>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</si>
  <si>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</si>
  <si>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</si>
  <si>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</si>
  <si>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</si>
  <si>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</si>
  <si>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</si>
  <si>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</si>
  <si>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</si>
  <si>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</si>
  <si>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</si>
  <si>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</si>
  <si>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</si>
  <si>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</si>
  <si>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</si>
  <si>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</si>
  <si>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</si>
  <si>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</si>
  <si>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</si>
  <si>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</si>
  <si>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</si>
  <si>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</si>
  <si>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</si>
  <si>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</si>
  <si>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</si>
  <si>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</si>
  <si>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</si>
  <si>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</si>
  <si>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</si>
  <si>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</si>
  <si>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</si>
  <si>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</si>
  <si>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</si>
  <si>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</si>
  <si>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</si>
  <si>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</si>
  <si>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</si>
  <si>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</si>
  <si>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</si>
  <si>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</si>
  <si>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</si>
  <si>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</si>
  <si>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</si>
  <si>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</si>
  <si>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</si>
  <si>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</si>
  <si>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e-regio GmbH % Co. KG</t>
  </si>
  <si>
    <t>Rheinbacher Weg 10</t>
  </si>
  <si>
    <t>Euskirchen</t>
  </si>
  <si>
    <t>Hubertus Beeke-Lentzen</t>
  </si>
  <si>
    <t>netzmanagement@e-regio.de</t>
  </si>
  <si>
    <t>02251/7087153</t>
  </si>
  <si>
    <t>e-regio</t>
  </si>
  <si>
    <t>THE0NKL700113000</t>
  </si>
  <si>
    <t>Weilerswist-Lommersum</t>
  </si>
  <si>
    <t>e-regio GmbH &amp; Co. KG</t>
  </si>
  <si>
    <t>DE_GBA04</t>
  </si>
  <si>
    <t>DE_GBD04</t>
  </si>
  <si>
    <t>DE_GBH04</t>
  </si>
  <si>
    <t>DE_GGA04</t>
  </si>
  <si>
    <t>DE_GGB04</t>
  </si>
  <si>
    <t>DE_GHA04</t>
  </si>
  <si>
    <t>DE_GKO04</t>
  </si>
  <si>
    <t>DE_GMF04</t>
  </si>
  <si>
    <t>DE_GMK04</t>
  </si>
  <si>
    <t>DE_GPD04</t>
  </si>
  <si>
    <t>DE_GWA04</t>
  </si>
  <si>
    <t>DE_HEF04</t>
  </si>
  <si>
    <t>DE_HMF04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</si>
</sst>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0" fillId="0" borderId="17" xfId="0" applyBorder="1" applyAlignment="1" applyProtection="1">
      <alignment horizontal="left" vertical="center"/>
      <protection locked="0"/>
    </xf>
    <xf numFmtId="195" fontId="0" fillId="70" borderId="17" xfId="0" applyNumberFormat="1" applyFont="1" applyFill="1" applyBorder="1" applyAlignment="1" applyProtection="1">
      <alignment horizontal="left" vertical="center"/>
      <protection locked="0"/>
    </xf>
    <xf numFmtId="49" fontId="0" fillId="70" borderId="17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-04-01_SLP_Gas_Verfahrensspezifische_Parameter_e-regio_H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EW-Standa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management@e-regi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7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5" sqref="D5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500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501</v>
      </c>
      <c r="D6" s="27">
        <v>44652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0">
        <v>9870011300009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261</v>
      </c>
      <c r="D15" s="351">
        <v>53881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264</v>
      </c>
      <c r="D21" s="352" t="s">
        <v>661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4" t="s">
        <v>499</v>
      </c>
      <c r="D28" s="46" t="str">
        <f>IF(D27&lt;&gt;C28,VLOOKUP(D27,$C$29:$D$48,2,FALSE),C28)</f>
        <v>e-regio</v>
      </c>
      <c r="E28" s="38"/>
      <c r="F28" s="11"/>
      <c r="G28" s="2"/>
    </row>
    <row r="29" spans="1:15">
      <c r="B29" s="15"/>
      <c r="C29" s="22" t="s">
        <v>393</v>
      </c>
      <c r="D29" s="43" t="s">
        <v>663</v>
      </c>
      <c r="E29" s="40"/>
      <c r="F29" s="11"/>
      <c r="G29" s="2"/>
    </row>
    <row r="30" spans="1:15">
      <c r="B30" s="15"/>
      <c r="C30" s="22" t="s">
        <v>394</v>
      </c>
      <c r="D30" s="43"/>
      <c r="E30" s="40"/>
      <c r="F30" s="45"/>
      <c r="G30" s="2"/>
    </row>
    <row r="31" spans="1:15">
      <c r="B31" s="15"/>
      <c r="C31" s="22" t="s">
        <v>419</v>
      </c>
      <c r="D31" s="44"/>
      <c r="E31" s="40"/>
      <c r="F31" s="45"/>
      <c r="G31" s="2"/>
    </row>
    <row r="32" spans="1:15">
      <c r="B32" s="15"/>
      <c r="C32" s="22" t="s">
        <v>420</v>
      </c>
      <c r="D32" s="44"/>
      <c r="E32" s="40"/>
      <c r="F32" s="45"/>
      <c r="G32" s="2"/>
    </row>
    <row r="33" spans="2:7">
      <c r="B33" s="15"/>
      <c r="C33" s="22" t="s">
        <v>421</v>
      </c>
      <c r="D33" s="43"/>
      <c r="E33" s="40"/>
      <c r="F33" s="45"/>
      <c r="G33" s="2"/>
    </row>
    <row r="34" spans="2:7">
      <c r="B34" s="15"/>
      <c r="C34" s="22" t="s">
        <v>422</v>
      </c>
      <c r="D34" s="44"/>
      <c r="E34" s="40"/>
      <c r="F34" s="45"/>
      <c r="G34" s="2"/>
    </row>
    <row r="35" spans="2:7">
      <c r="B35" s="15"/>
      <c r="C35" s="22" t="s">
        <v>423</v>
      </c>
      <c r="D35" s="44"/>
      <c r="E35" s="40"/>
      <c r="F35" s="45"/>
      <c r="G35" s="2"/>
    </row>
    <row r="36" spans="2:7">
      <c r="B36" s="15"/>
      <c r="C36" s="22" t="s">
        <v>424</v>
      </c>
      <c r="D36" s="44"/>
      <c r="E36" s="40"/>
      <c r="F36" s="45"/>
      <c r="G36" s="2"/>
    </row>
    <row r="37" spans="2:7">
      <c r="B37" s="15"/>
      <c r="C37" s="22" t="s">
        <v>425</v>
      </c>
      <c r="D37" s="44"/>
      <c r="E37" s="40"/>
      <c r="F37" s="45"/>
      <c r="G37" s="2"/>
    </row>
    <row r="38" spans="2:7">
      <c r="B38" s="15"/>
      <c r="C38" s="22" t="s">
        <v>428</v>
      </c>
      <c r="D38" s="44"/>
      <c r="E38" s="40"/>
      <c r="F38" s="45"/>
      <c r="G38" s="2"/>
    </row>
    <row r="39" spans="2:7">
      <c r="B39" s="15"/>
      <c r="C39" s="22" t="s">
        <v>429</v>
      </c>
      <c r="D39" s="44"/>
      <c r="E39" s="40"/>
      <c r="F39" s="45"/>
      <c r="G39" s="2"/>
    </row>
    <row r="40" spans="2:7">
      <c r="B40" s="15"/>
      <c r="C40" s="22" t="s">
        <v>430</v>
      </c>
      <c r="D40" s="44"/>
      <c r="E40" s="40"/>
      <c r="F40" s="45"/>
      <c r="G40" s="2"/>
    </row>
    <row r="41" spans="2:7">
      <c r="B41" s="15"/>
      <c r="C41" s="22" t="s">
        <v>431</v>
      </c>
      <c r="D41" s="44"/>
      <c r="E41" s="40"/>
      <c r="F41" s="45"/>
      <c r="G41" s="2"/>
    </row>
    <row r="42" spans="2:7">
      <c r="B42" s="15"/>
      <c r="C42" s="22" t="s">
        <v>432</v>
      </c>
      <c r="D42" s="44"/>
      <c r="E42" s="40"/>
      <c r="F42" s="45"/>
      <c r="G42" s="2"/>
    </row>
    <row r="43" spans="2:7">
      <c r="B43" s="15"/>
      <c r="C43" s="22" t="s">
        <v>433</v>
      </c>
      <c r="D43" s="44"/>
      <c r="E43" s="40"/>
      <c r="F43" s="45"/>
      <c r="G43" s="2"/>
    </row>
    <row r="44" spans="2:7">
      <c r="B44" s="15"/>
      <c r="C44" s="22" t="s">
        <v>434</v>
      </c>
      <c r="D44" s="44"/>
      <c r="E44" s="40"/>
      <c r="F44" s="45"/>
      <c r="G44" s="2"/>
    </row>
    <row r="45" spans="2:7">
      <c r="B45" s="15"/>
      <c r="C45" s="22" t="s">
        <v>435</v>
      </c>
      <c r="D45" s="44"/>
      <c r="E45" s="40"/>
      <c r="F45" s="45"/>
      <c r="G45" s="2"/>
    </row>
    <row r="46" spans="2:7">
      <c r="B46" s="15"/>
      <c r="C46" s="22" t="s">
        <v>436</v>
      </c>
      <c r="D46" s="44"/>
      <c r="E46" s="40"/>
      <c r="F46" s="45"/>
    </row>
    <row r="47" spans="2:7">
      <c r="B47" s="15"/>
      <c r="C47" s="22" t="s">
        <v>437</v>
      </c>
      <c r="D47" s="44"/>
      <c r="E47" s="40"/>
      <c r="F47" s="45"/>
    </row>
    <row r="48" spans="2:7">
      <c r="B48" s="15"/>
      <c r="C48" s="22" t="s">
        <v>438</v>
      </c>
      <c r="D48" s="44"/>
      <c r="E48" s="40"/>
      <c r="F48" s="45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3561CC08-A180-46CD-8289-4E4671BBA859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442</v>
      </c>
      <c r="D5" s="56" t="str">
        <f>Netzbetreiber!$D$9</f>
        <v>e-regio GmbH % Co. KG</v>
      </c>
      <c r="H5" s="66"/>
      <c r="I5" s="66"/>
      <c r="J5" s="66"/>
      <c r="K5" s="66"/>
    </row>
    <row r="6" spans="2:15" ht="15" customHeight="1">
      <c r="B6" s="22"/>
      <c r="C6" s="60" t="s">
        <v>441</v>
      </c>
      <c r="D6" s="56" t="str">
        <f>Netzbetreiber!D28</f>
        <v>e-regio</v>
      </c>
      <c r="E6" s="15"/>
      <c r="H6" s="66"/>
      <c r="I6" s="66"/>
      <c r="J6" s="66"/>
      <c r="K6" s="66"/>
    </row>
    <row r="7" spans="2:15" ht="15" customHeight="1">
      <c r="B7" s="22"/>
      <c r="C7" s="58" t="s">
        <v>485</v>
      </c>
      <c r="D7" s="59">
        <f>Netzbetreiber!$D$11</f>
        <v>9870011300009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8">
        <f>Netzbetreiber!$D$6</f>
        <v>44652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617</v>
      </c>
      <c r="E11" s="15"/>
      <c r="H11" s="275" t="s">
        <v>616</v>
      </c>
      <c r="I11" s="275" t="s">
        <v>617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653</v>
      </c>
      <c r="D13" s="42" t="s">
        <v>664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71"/>
      <c r="I14" s="271"/>
      <c r="J14" s="271"/>
      <c r="K14" s="271"/>
      <c r="L14" s="272"/>
    </row>
    <row r="15" spans="2:15" ht="15" customHeight="1">
      <c r="B15" s="7" t="s">
        <v>83</v>
      </c>
      <c r="C15" s="31" t="s">
        <v>366</v>
      </c>
      <c r="D15" s="47" t="s">
        <v>257</v>
      </c>
      <c r="E15" s="15"/>
      <c r="H15" s="273" t="s">
        <v>257</v>
      </c>
      <c r="I15" s="273" t="s">
        <v>135</v>
      </c>
      <c r="J15" s="271"/>
      <c r="K15" s="271"/>
      <c r="L15" s="272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4" t="s">
        <v>575</v>
      </c>
      <c r="I16" s="274" t="s">
        <v>486</v>
      </c>
      <c r="J16" s="271"/>
      <c r="K16" s="271"/>
      <c r="L16" s="272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4" t="s">
        <v>487</v>
      </c>
      <c r="I17" s="274" t="s">
        <v>488</v>
      </c>
      <c r="J17" s="271"/>
      <c r="K17" s="271"/>
      <c r="L17" s="272"/>
    </row>
    <row r="18" spans="2:16" ht="15" customHeight="1">
      <c r="B18" s="22"/>
      <c r="C18" s="32"/>
      <c r="D18" s="16"/>
      <c r="E18" s="15"/>
      <c r="H18" s="274"/>
      <c r="I18" s="274"/>
      <c r="J18" s="271"/>
      <c r="K18" s="271"/>
      <c r="L18" s="272"/>
    </row>
    <row r="19" spans="2:16" ht="15" customHeight="1">
      <c r="B19" s="7" t="s">
        <v>84</v>
      </c>
      <c r="C19" s="8" t="s">
        <v>613</v>
      </c>
      <c r="D19" s="47" t="s">
        <v>609</v>
      </c>
      <c r="E19" s="15"/>
      <c r="H19" s="271" t="s">
        <v>609</v>
      </c>
      <c r="I19" s="271" t="s">
        <v>610</v>
      </c>
      <c r="J19" s="271"/>
      <c r="K19" s="8"/>
      <c r="L19" s="272"/>
    </row>
    <row r="20" spans="2:16" ht="15" customHeight="1">
      <c r="B20" s="7"/>
      <c r="C20" s="8" t="str">
        <f>HLOOKUP(D19,H19:I20,2,0)</f>
        <v>nach TU-München Verfahren</v>
      </c>
      <c r="D20" s="47" t="s">
        <v>611</v>
      </c>
      <c r="E20" s="15"/>
      <c r="H20" s="271" t="s">
        <v>612</v>
      </c>
      <c r="I20" s="8" t="s">
        <v>608</v>
      </c>
      <c r="J20" s="8"/>
      <c r="K20" s="8"/>
      <c r="L20" s="272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1" t="s">
        <v>611</v>
      </c>
      <c r="I21" s="271" t="s">
        <v>618</v>
      </c>
      <c r="J21" s="8"/>
      <c r="K21" s="8"/>
      <c r="L21" s="274" t="s">
        <v>619</v>
      </c>
      <c r="M21" s="274" t="s">
        <v>621</v>
      </c>
      <c r="N21" s="274" t="s">
        <v>620</v>
      </c>
      <c r="O21" s="8"/>
      <c r="P21" s="272"/>
    </row>
    <row r="22" spans="2:16" ht="15" customHeight="1">
      <c r="B22" s="22"/>
      <c r="C22" s="24"/>
      <c r="D22" s="15"/>
      <c r="E22" s="15"/>
      <c r="H22" s="271"/>
      <c r="I22" s="271"/>
      <c r="J22" s="271"/>
      <c r="K22" s="271"/>
      <c r="L22" s="272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3" t="s">
        <v>134</v>
      </c>
      <c r="I23" s="273" t="s">
        <v>136</v>
      </c>
      <c r="J23" s="271"/>
      <c r="K23" s="271"/>
      <c r="L23" s="272"/>
    </row>
    <row r="24" spans="2:16" ht="15" customHeight="1">
      <c r="B24" s="7"/>
      <c r="C24" s="6" t="s">
        <v>622</v>
      </c>
      <c r="D24" s="42" t="s">
        <v>623</v>
      </c>
      <c r="E24" s="15"/>
      <c r="H24" s="307" t="s">
        <v>623</v>
      </c>
      <c r="I24" s="273" t="s">
        <v>624</v>
      </c>
      <c r="J24" s="273" t="s">
        <v>625</v>
      </c>
      <c r="K24" s="271"/>
      <c r="L24" s="272"/>
    </row>
    <row r="25" spans="2:16" ht="15" customHeight="1">
      <c r="B25" s="22"/>
      <c r="C25" s="15" t="str">
        <f>HLOOKUP(D24,H24:J25,2,0)</f>
        <v>=&gt; Q(Allokation)  =  Q(Synth.);    F(kor) = 1</v>
      </c>
      <c r="D25" s="308">
        <v>1</v>
      </c>
      <c r="E25" s="15"/>
      <c r="H25" s="274" t="s">
        <v>626</v>
      </c>
      <c r="I25" s="274" t="s">
        <v>627</v>
      </c>
      <c r="J25" s="274" t="s">
        <v>628</v>
      </c>
      <c r="K25" s="271"/>
      <c r="L25" s="272"/>
    </row>
    <row r="26" spans="2:16" ht="15" customHeight="1">
      <c r="B26" s="22"/>
      <c r="C26" s="15" t="str">
        <f>HLOOKUP(D24,H24:J26,3,0)</f>
        <v xml:space="preserve"> </v>
      </c>
      <c r="D26" s="309"/>
      <c r="E26" s="15"/>
      <c r="H26" s="274" t="s">
        <v>629</v>
      </c>
      <c r="I26" s="274" t="s">
        <v>630</v>
      </c>
      <c r="J26" s="274" t="s">
        <v>631</v>
      </c>
      <c r="K26" s="271"/>
      <c r="L26" s="272"/>
    </row>
    <row r="27" spans="2:16" ht="15" customHeight="1">
      <c r="B27" s="22"/>
      <c r="C27" s="24"/>
      <c r="D27" s="15"/>
      <c r="E27" s="15"/>
      <c r="H27" s="271"/>
      <c r="I27" s="271"/>
      <c r="J27" s="271"/>
      <c r="K27" s="271"/>
      <c r="L27" s="272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3" t="s">
        <v>134</v>
      </c>
      <c r="I28" s="273" t="s">
        <v>136</v>
      </c>
      <c r="J28" s="271"/>
      <c r="K28" s="271"/>
      <c r="L28" s="27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4" t="s">
        <v>632</v>
      </c>
      <c r="I29" s="274" t="s">
        <v>633</v>
      </c>
      <c r="J29" s="271"/>
      <c r="K29" s="271"/>
      <c r="L29" s="27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4" t="s">
        <v>634</v>
      </c>
      <c r="I30" s="271" t="s">
        <v>629</v>
      </c>
      <c r="J30" s="271"/>
      <c r="K30" s="271"/>
      <c r="L30" s="272"/>
    </row>
    <row r="31" spans="2:16" ht="15" customHeight="1">
      <c r="B31" s="22"/>
      <c r="C31" s="24"/>
      <c r="D31" s="15"/>
      <c r="E31" s="15"/>
      <c r="H31" s="271"/>
      <c r="I31" s="271"/>
      <c r="J31" s="271"/>
      <c r="K31" s="271"/>
      <c r="L31" s="272"/>
    </row>
    <row r="32" spans="2:16" ht="15" customHeight="1">
      <c r="B32" s="23" t="s">
        <v>491</v>
      </c>
      <c r="C32" s="24" t="s">
        <v>493</v>
      </c>
      <c r="D32" s="267">
        <v>14</v>
      </c>
      <c r="E32" s="15"/>
      <c r="H32" s="271"/>
      <c r="I32" s="271"/>
      <c r="J32" s="271"/>
      <c r="K32" s="271"/>
      <c r="L32" s="272"/>
    </row>
    <row r="33" spans="2:39" ht="15" customHeight="1">
      <c r="B33" s="22"/>
      <c r="C33" s="24"/>
      <c r="D33" s="15"/>
      <c r="E33" s="15"/>
      <c r="H33" s="271"/>
      <c r="I33" s="271"/>
      <c r="J33" s="271"/>
      <c r="K33" s="271"/>
      <c r="L33" s="272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1"/>
      <c r="J34" s="271"/>
      <c r="K34" s="271"/>
      <c r="L34" s="271"/>
      <c r="M34" s="272"/>
    </row>
    <row r="35" spans="2:39" customFormat="1" ht="15" customHeight="1">
      <c r="C35" s="8" t="s">
        <v>489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6"/>
      <c r="I37" s="66"/>
      <c r="J37" s="66"/>
      <c r="K37" s="66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8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3" t="s">
        <v>665</v>
      </c>
    </row>
    <row r="46" spans="2:39" ht="18" customHeight="1">
      <c r="C46" s="22" t="s">
        <v>587</v>
      </c>
      <c r="D46" s="43"/>
    </row>
    <row r="47" spans="2:39" ht="18" customHeight="1">
      <c r="C47" s="22" t="s">
        <v>588</v>
      </c>
      <c r="D47" s="43"/>
    </row>
    <row r="48" spans="2:39" ht="18" customHeight="1">
      <c r="C48" s="22" t="s">
        <v>589</v>
      </c>
      <c r="D48" s="43"/>
    </row>
    <row r="49" spans="3:4" ht="18" customHeight="1">
      <c r="C49" s="22" t="s">
        <v>590</v>
      </c>
      <c r="D49" s="43"/>
    </row>
    <row r="50" spans="3:4" ht="18" customHeight="1">
      <c r="C50" s="22" t="s">
        <v>591</v>
      </c>
      <c r="D50" s="43"/>
    </row>
    <row r="51" spans="3:4" ht="18" customHeight="1">
      <c r="C51" s="22" t="s">
        <v>592</v>
      </c>
      <c r="D51" s="43"/>
    </row>
    <row r="52" spans="3:4" ht="18" customHeight="1">
      <c r="C52" s="22" t="s">
        <v>593</v>
      </c>
      <c r="D52" s="43"/>
    </row>
    <row r="53" spans="3:4" ht="18" customHeight="1">
      <c r="C53" s="22" t="s">
        <v>594</v>
      </c>
      <c r="D53" s="43"/>
    </row>
    <row r="54" spans="3:4" ht="18" customHeight="1">
      <c r="C54" s="22" t="s">
        <v>595</v>
      </c>
      <c r="D54" s="43"/>
    </row>
    <row r="55" spans="3:4" ht="18" customHeight="1">
      <c r="C55" s="22" t="s">
        <v>596</v>
      </c>
      <c r="D55" s="43"/>
    </row>
    <row r="56" spans="3:4" ht="18" customHeight="1">
      <c r="C56" s="22" t="s">
        <v>597</v>
      </c>
      <c r="D56" s="43"/>
    </row>
    <row r="57" spans="3:4" ht="18" customHeight="1">
      <c r="C57" s="22" t="s">
        <v>598</v>
      </c>
      <c r="D57" s="43"/>
    </row>
    <row r="58" spans="3:4" ht="18" customHeight="1">
      <c r="C58" s="22" t="s">
        <v>599</v>
      </c>
      <c r="D58" s="43"/>
    </row>
    <row r="59" spans="3:4" ht="18" customHeight="1">
      <c r="C59" s="22" t="s">
        <v>600</v>
      </c>
      <c r="D59" s="43"/>
    </row>
  </sheetData>
  <conditionalFormatting sqref="D13">
    <cfRule type="expression" dxfId="57" priority="20">
      <formula>IF(#REF!="Gaspool",1,0)</formula>
    </cfRule>
  </conditionalFormatting>
  <conditionalFormatting sqref="D45:D59">
    <cfRule type="expression" dxfId="56" priority="16">
      <formula>IF(CELL("Zeile",D45)&lt;$D$43+CELL("Zeile",$D$45),1,0)</formula>
    </cfRule>
  </conditionalFormatting>
  <conditionalFormatting sqref="D46:D59">
    <cfRule type="expression" dxfId="55" priority="15">
      <formula>IF(CELL(D46)&lt;$D$33+27,1,0)</formula>
    </cfRule>
  </conditionalFormatting>
  <conditionalFormatting sqref="D20">
    <cfRule type="expression" dxfId="54" priority="14">
      <formula>IF($D$19=$H$19,1,0)</formula>
    </cfRule>
  </conditionalFormatting>
  <conditionalFormatting sqref="D28">
    <cfRule type="expression" dxfId="53" priority="3">
      <formula>IF($D$15="synthetisch",1,0)</formula>
    </cfRule>
  </conditionalFormatting>
  <conditionalFormatting sqref="D25">
    <cfRule type="expression" dxfId="52" priority="1">
      <formula>IF(AND($D$24=$I$24,$D$23=$H$23),1,0)</formula>
    </cfRule>
  </conditionalFormatting>
  <conditionalFormatting sqref="D23:D25">
    <cfRule type="expression" dxfId="51" priority="4">
      <formula>IF($D$15="analytisch",1,0)</formula>
    </cfRule>
  </conditionalFormatting>
  <conditionalFormatting sqref="D24">
    <cfRule type="expression" dxfId="50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abSelected="1" zoomScale="70" zoomScaleNormal="70" workbookViewId="0">
      <selection activeCell="E6" sqref="E6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14" width="12.7109375" style="127" customWidth="1"/>
    <col min="15" max="15" width="34.140625" style="127" customWidth="1"/>
    <col min="16" max="16" width="7.28515625" style="169" hidden="1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25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">
        <v>666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">
        <v>663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353">
        <v>9870011300009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44652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8">
        <v>1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5" t="str">
        <f>INDEX('SLP-Verfahren'!D45:D59,'SLP-Temp-Gebiet #01'!F10)</f>
        <v>Weilerswist-Lommersum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>
      <c r="B17" s="175" t="s">
        <v>517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>
      <c r="B18" s="129"/>
      <c r="C18" s="54" t="s">
        <v>523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1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2"/>
      <c r="C21" s="183" t="s">
        <v>525</v>
      </c>
      <c r="D21" s="152" t="s">
        <v>515</v>
      </c>
      <c r="E21" s="288">
        <f>1-SUMPRODUCT(F19:N19,F21:N21)</f>
        <v>1</v>
      </c>
      <c r="F21" s="288"/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2"/>
      <c r="C22" s="183" t="s">
        <v>537</v>
      </c>
      <c r="D22" s="185">
        <f>SUMPRODUCT(E22:N22,E19:N19)</f>
        <v>1</v>
      </c>
      <c r="E22" s="290">
        <v>1</v>
      </c>
      <c r="F22" s="290"/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2"/>
      <c r="C23" s="186" t="s">
        <v>137</v>
      </c>
      <c r="D23" s="187"/>
      <c r="E23" s="354" t="s">
        <v>502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2"/>
      <c r="C24" s="186" t="s">
        <v>520</v>
      </c>
      <c r="D24" s="187"/>
      <c r="E24" s="354" t="s">
        <v>665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2"/>
      <c r="C25" s="186" t="s">
        <v>514</v>
      </c>
      <c r="D25" s="187"/>
      <c r="E25" s="354">
        <v>191149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2"/>
      <c r="C26" s="186" t="s">
        <v>141</v>
      </c>
      <c r="D26" s="187"/>
      <c r="E26" s="155" t="s">
        <v>656</v>
      </c>
      <c r="F26" s="155"/>
      <c r="G26" s="155" t="s">
        <v>503</v>
      </c>
      <c r="H26" s="155" t="s">
        <v>503</v>
      </c>
      <c r="I26" s="155" t="s">
        <v>503</v>
      </c>
      <c r="J26" s="155" t="s">
        <v>503</v>
      </c>
      <c r="K26" s="155" t="s">
        <v>503</v>
      </c>
      <c r="L26" s="155" t="s">
        <v>503</v>
      </c>
      <c r="M26" s="155" t="s">
        <v>503</v>
      </c>
      <c r="N26" s="155" t="s">
        <v>503</v>
      </c>
      <c r="O26" s="184" t="s">
        <v>142</v>
      </c>
      <c r="Q26" s="210"/>
      <c r="R26" s="208" t="s">
        <v>503</v>
      </c>
      <c r="S26" s="208" t="s">
        <v>655</v>
      </c>
      <c r="T26" s="208" t="s">
        <v>656</v>
      </c>
      <c r="U26" s="208" t="s">
        <v>504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6"/>
      <c r="C27" s="347" t="s">
        <v>654</v>
      </c>
      <c r="D27" s="348"/>
      <c r="E27" s="348" t="str">
        <f>IF(E26="Individuelle GPT",CONCATENATE(Netzbetreiber!$D$11,'SLP-Temp-Gebiet #01'!E25,"B"),IF('SLP-Temp-Gebiet #01'!E26="Allgemeine GPT",CONCATENATE(Netzbetreiber!$D$11,'SLP-Temp-Gebiet #01'!E25,"A"),""))</f>
        <v>9870011300009191149A</v>
      </c>
      <c r="F27" s="348"/>
      <c r="G27" s="348" t="str">
        <f>IF(G26="Individuelle GPT",CONCATENATE(Netzbetreiber!$D$11,'SLP-Temp-Gebiet #01'!G25,"B"),IF('SLP-Temp-Gebiet #01'!G26="Allgemeine GPT",CONCATENATE(Netzbetreiber!$D$11,'SLP-Temp-Gebiet #01'!G25,"A"),""))</f>
        <v/>
      </c>
      <c r="H27" s="348" t="str">
        <f>IF(H26="Individuelle GPT",CONCATENATE(Netzbetreiber!$D$11,'SLP-Temp-Gebiet #01'!H25,"B"),IF('SLP-Temp-Gebiet #01'!H26="Allgemeine GPT",CONCATENATE(Netzbetreiber!$D$11,'SLP-Temp-Gebiet #01'!H25,"A"),""))</f>
        <v/>
      </c>
      <c r="I27" s="348" t="str">
        <f>IF(I26="Individuelle GPT",CONCATENATE(Netzbetreiber!$D$11,'SLP-Temp-Gebiet #01'!I25,"B"),IF('SLP-Temp-Gebiet #01'!I26="Allgemeine GPT",CONCATENATE(Netzbetreiber!$D$11,'SLP-Temp-Gebiet #01'!I25,"A"),""))</f>
        <v/>
      </c>
      <c r="J27" s="348" t="str">
        <f>IF(J26="Individuelle GPT",CONCATENATE(Netzbetreiber!$D$11,'SLP-Temp-Gebiet #01'!J25,"B"),IF('SLP-Temp-Gebiet #01'!J26="Allgemeine GPT",CONCATENATE(Netzbetreiber!$D$11,'SLP-Temp-Gebiet #01'!J25,"A"),""))</f>
        <v/>
      </c>
      <c r="K27" s="348" t="str">
        <f>IF(K26="Individuelle GPT",CONCATENATE(Netzbetreiber!$D$11,'SLP-Temp-Gebiet #01'!K25,"B"),IF('SLP-Temp-Gebiet #01'!K26="Allgemeine GPT",CONCATENATE(Netzbetreiber!$D$11,'SLP-Temp-Gebiet #01'!K25,"A"),""))</f>
        <v/>
      </c>
      <c r="L27" s="348" t="str">
        <f>IF(L26="Individuelle GPT",CONCATENATE(Netzbetreiber!$D$11,'SLP-Temp-Gebiet #01'!L25,"B"),IF('SLP-Temp-Gebiet #01'!L26="Allgemeine GPT",CONCATENATE(Netzbetreiber!$D$11,'SLP-Temp-Gebiet #01'!L25,"A"),""))</f>
        <v/>
      </c>
      <c r="M27" s="348" t="str">
        <f>IF(M26="Individuelle GPT",CONCATENATE(Netzbetreiber!$D$11,'SLP-Temp-Gebiet #01'!M25,"B"),IF('SLP-Temp-Gebiet #01'!M26="Allgemeine GPT",CONCATENATE(Netzbetreiber!$D$11,'SLP-Temp-Gebiet #01'!M25,"A"),""))</f>
        <v/>
      </c>
      <c r="N27" s="348" t="str">
        <f>IF(N26="Individuelle GPT",CONCATENATE(Netzbetreiber!$D$11,'SLP-Temp-Gebiet #01'!N25,"B"),IF('SLP-Temp-Gebiet #01'!N26="Allgemeine GPT",CONCATENATE(Netzbetreiber!$D$11,'SLP-Temp-Gebiet #01'!N25,"A"),""))</f>
        <v/>
      </c>
      <c r="O27" s="349" t="s">
        <v>143</v>
      </c>
      <c r="P27" s="13"/>
      <c r="Q27" s="210"/>
      <c r="R27" s="208" t="s">
        <v>503</v>
      </c>
      <c r="S27" s="208" t="s">
        <v>504</v>
      </c>
    </row>
    <row r="28" spans="1:28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519</v>
      </c>
      <c r="D29" s="129"/>
      <c r="E29" s="129"/>
      <c r="F29" s="47">
        <v>1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7">
        <f>IF(E31&gt;$F$29,0,1)</f>
        <v>1</v>
      </c>
      <c r="F30" s="177">
        <f t="shared" ref="F30:N30" si="2">IF(F31&gt;$F$29,0,1)</f>
        <v>0</v>
      </c>
      <c r="G30" s="177">
        <f t="shared" si="2"/>
        <v>0</v>
      </c>
      <c r="H30" s="177">
        <f t="shared" si="2"/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>
        <f t="shared" si="2"/>
        <v>0</v>
      </c>
      <c r="M30" s="177">
        <f t="shared" si="2"/>
        <v>0</v>
      </c>
      <c r="N30" s="177">
        <f t="shared" si="2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2"/>
      <c r="C31" s="178" t="s">
        <v>140</v>
      </c>
      <c r="D31" s="179" t="s">
        <v>256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144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2"/>
      <c r="C32" s="183" t="s">
        <v>526</v>
      </c>
      <c r="D32" s="185" t="s">
        <v>255</v>
      </c>
      <c r="E32" s="286">
        <f>1-SUMPRODUCT(F30:N30,F32:N32)</f>
        <v>1</v>
      </c>
      <c r="F32" s="286">
        <f t="shared" ref="F32:N32" si="3">ROUND(F33/$D$33,4)</f>
        <v>0</v>
      </c>
      <c r="G32" s="286">
        <f t="shared" si="3"/>
        <v>0.25</v>
      </c>
      <c r="H32" s="286">
        <f t="shared" si="3"/>
        <v>0.125</v>
      </c>
      <c r="I32" s="286">
        <f t="shared" si="3"/>
        <v>0</v>
      </c>
      <c r="J32" s="286">
        <f t="shared" si="3"/>
        <v>0</v>
      </c>
      <c r="K32" s="286">
        <f t="shared" si="3"/>
        <v>0</v>
      </c>
      <c r="L32" s="286">
        <f t="shared" si="3"/>
        <v>0</v>
      </c>
      <c r="M32" s="286">
        <f t="shared" si="3"/>
        <v>0</v>
      </c>
      <c r="N32" s="286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3" t="s">
        <v>533</v>
      </c>
      <c r="D33" s="292">
        <f>SUMPRODUCT(E33:N33,E30:N30)</f>
        <v>1</v>
      </c>
      <c r="E33" s="287">
        <v>1</v>
      </c>
      <c r="F33" s="355"/>
      <c r="G33" s="287">
        <v>0.25</v>
      </c>
      <c r="H33" s="287">
        <v>0.125</v>
      </c>
      <c r="I33" s="154"/>
      <c r="J33" s="154"/>
      <c r="K33" s="154"/>
      <c r="L33" s="154"/>
      <c r="M33" s="154"/>
      <c r="N33" s="154"/>
      <c r="O33" s="184" t="s">
        <v>145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2"/>
      <c r="C34" s="186" t="s">
        <v>359</v>
      </c>
      <c r="D34" s="152" t="s">
        <v>358</v>
      </c>
      <c r="E34" s="155" t="s">
        <v>3</v>
      </c>
      <c r="F34" s="157"/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84" t="s">
        <v>142</v>
      </c>
      <c r="Q34" s="210"/>
      <c r="R34" s="66" t="s">
        <v>3</v>
      </c>
      <c r="S34" s="66" t="s">
        <v>357</v>
      </c>
      <c r="T34" s="66" t="s">
        <v>348</v>
      </c>
      <c r="U34" s="66" t="s">
        <v>349</v>
      </c>
      <c r="V34" s="66" t="s">
        <v>350</v>
      </c>
      <c r="W34" s="66" t="s">
        <v>351</v>
      </c>
      <c r="X34" s="66" t="s">
        <v>352</v>
      </c>
      <c r="Y34" s="66" t="s">
        <v>353</v>
      </c>
      <c r="Z34" s="66" t="s">
        <v>354</v>
      </c>
      <c r="AA34" s="66" t="s">
        <v>355</v>
      </c>
      <c r="AB34" s="66" t="s">
        <v>356</v>
      </c>
    </row>
    <row r="35" spans="2:28">
      <c r="B35" s="182"/>
      <c r="C35" s="186" t="s">
        <v>448</v>
      </c>
      <c r="D35" s="152" t="s">
        <v>447</v>
      </c>
      <c r="E35" s="155" t="s">
        <v>511</v>
      </c>
      <c r="F35" s="157"/>
      <c r="G35" s="155" t="s">
        <v>511</v>
      </c>
      <c r="H35" s="155" t="s">
        <v>511</v>
      </c>
      <c r="I35" s="161"/>
      <c r="J35" s="161"/>
      <c r="K35" s="161"/>
      <c r="L35" s="161"/>
      <c r="M35" s="161"/>
      <c r="N35" s="161"/>
      <c r="O35" s="184" t="s">
        <v>142</v>
      </c>
      <c r="Q35" s="210"/>
      <c r="R35" s="66" t="s">
        <v>511</v>
      </c>
      <c r="S35" s="66" t="s">
        <v>512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86" t="s">
        <v>605</v>
      </c>
      <c r="D36" s="152" t="s">
        <v>606</v>
      </c>
      <c r="E36" s="155" t="s">
        <v>604</v>
      </c>
      <c r="F36" s="157"/>
      <c r="G36" s="155" t="s">
        <v>604</v>
      </c>
      <c r="H36" s="155" t="s">
        <v>604</v>
      </c>
      <c r="I36" s="155" t="s">
        <v>604</v>
      </c>
      <c r="J36" s="155" t="s">
        <v>604</v>
      </c>
      <c r="K36" s="155" t="s">
        <v>604</v>
      </c>
      <c r="L36" s="155" t="s">
        <v>604</v>
      </c>
      <c r="M36" s="155" t="s">
        <v>604</v>
      </c>
      <c r="N36" s="155" t="s">
        <v>604</v>
      </c>
      <c r="O36" s="184" t="s">
        <v>142</v>
      </c>
      <c r="Q36" s="210"/>
      <c r="R36" s="66" t="s">
        <v>604</v>
      </c>
      <c r="S36" s="66" t="s">
        <v>607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2"/>
      <c r="C37" s="191" t="s">
        <v>440</v>
      </c>
      <c r="D37" s="118" t="s">
        <v>538</v>
      </c>
      <c r="E37" s="161" t="s">
        <v>449</v>
      </c>
      <c r="F37" s="356"/>
      <c r="G37" s="161" t="s">
        <v>450</v>
      </c>
      <c r="H37" s="161" t="s">
        <v>450</v>
      </c>
      <c r="I37" s="161"/>
      <c r="J37" s="161"/>
      <c r="K37" s="161"/>
      <c r="L37" s="161"/>
      <c r="M37" s="161"/>
      <c r="N37" s="161"/>
      <c r="O37" s="184" t="s">
        <v>142</v>
      </c>
      <c r="Q37" s="210"/>
      <c r="R37" s="66" t="s">
        <v>450</v>
      </c>
      <c r="S37" s="66" t="s">
        <v>449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2"/>
      <c r="C39" s="193" t="s">
        <v>267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8">
      <c r="B40" s="192"/>
      <c r="C40" s="196" t="s">
        <v>347</v>
      </c>
      <c r="D40" s="197"/>
      <c r="E40" s="197" t="s">
        <v>531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532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6"/>
      <c r="D42" s="197"/>
      <c r="E42" s="197" t="s">
        <v>524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529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 t="s">
        <v>530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6" t="s">
        <v>535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>
      <c r="B47" s="192"/>
      <c r="C47" s="199" t="s">
        <v>536</v>
      </c>
      <c r="D47" s="200" t="s">
        <v>534</v>
      </c>
      <c r="E47" s="293">
        <v>1</v>
      </c>
      <c r="F47" s="293">
        <v>0</v>
      </c>
      <c r="G47" s="293">
        <v>0</v>
      </c>
      <c r="H47" s="293">
        <v>0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>
      <c r="B48" s="192"/>
      <c r="C48" s="199" t="s">
        <v>346</v>
      </c>
      <c r="D48" s="200" t="s">
        <v>534</v>
      </c>
      <c r="E48" s="293">
        <v>1</v>
      </c>
      <c r="F48" s="293">
        <v>0.5</v>
      </c>
      <c r="G48" s="293">
        <v>0.25</v>
      </c>
      <c r="H48" s="293">
        <v>0.125</v>
      </c>
      <c r="I48" s="293">
        <v>0</v>
      </c>
      <c r="J48" s="293" t="s">
        <v>360</v>
      </c>
      <c r="K48" s="197"/>
      <c r="L48" s="197"/>
      <c r="M48" s="197"/>
      <c r="N48" s="197"/>
      <c r="O48" s="198"/>
    </row>
    <row r="49" spans="2:28" ht="15.75" thickBot="1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75" t="s">
        <v>579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>
      <c r="B53" s="129"/>
      <c r="C53" s="54" t="s">
        <v>543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>
      <c r="B55" s="129"/>
      <c r="C55" s="178" t="s">
        <v>518</v>
      </c>
      <c r="D55" s="179" t="s">
        <v>513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144</v>
      </c>
      <c r="W55" s="66"/>
      <c r="X55" s="66"/>
      <c r="Y55" s="66"/>
      <c r="Z55" s="66"/>
      <c r="AA55" s="66"/>
      <c r="AB55" s="66"/>
    </row>
    <row r="56" spans="2:28">
      <c r="B56" s="182"/>
      <c r="C56" s="183" t="s">
        <v>525</v>
      </c>
      <c r="D56" s="152" t="s">
        <v>515</v>
      </c>
      <c r="E56" s="286">
        <f>1-SUMPRODUCT(F54:N54,F56:N56)</f>
        <v>1</v>
      </c>
      <c r="F56" s="286">
        <f>ROUND(F57/$D$57,4)</f>
        <v>0</v>
      </c>
      <c r="G56" s="286">
        <f t="shared" ref="G56:N56" si="5">ROUND(G57/$D$57,4)</f>
        <v>0</v>
      </c>
      <c r="H56" s="286">
        <f t="shared" si="5"/>
        <v>0</v>
      </c>
      <c r="I56" s="286">
        <f t="shared" si="5"/>
        <v>0</v>
      </c>
      <c r="J56" s="286">
        <f t="shared" si="5"/>
        <v>0</v>
      </c>
      <c r="K56" s="286">
        <f t="shared" si="5"/>
        <v>0</v>
      </c>
      <c r="L56" s="286">
        <f t="shared" si="5"/>
        <v>0</v>
      </c>
      <c r="M56" s="286">
        <f t="shared" si="5"/>
        <v>0</v>
      </c>
      <c r="N56" s="286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>
      <c r="B57" s="182"/>
      <c r="C57" s="183" t="s">
        <v>537</v>
      </c>
      <c r="D57" s="185">
        <f>SUMPRODUCT(E57:N57,E54:N54)</f>
        <v>1</v>
      </c>
      <c r="E57" s="287">
        <f>E22</f>
        <v>1</v>
      </c>
      <c r="F57" s="287">
        <f t="shared" ref="F57:N57" si="6">F22</f>
        <v>0</v>
      </c>
      <c r="G57" s="287">
        <f t="shared" si="6"/>
        <v>0</v>
      </c>
      <c r="H57" s="287">
        <f t="shared" si="6"/>
        <v>0</v>
      </c>
      <c r="I57" s="287">
        <f t="shared" si="6"/>
        <v>0</v>
      </c>
      <c r="J57" s="287">
        <f t="shared" si="6"/>
        <v>0</v>
      </c>
      <c r="K57" s="287">
        <f t="shared" si="6"/>
        <v>0</v>
      </c>
      <c r="L57" s="287">
        <f t="shared" si="6"/>
        <v>0</v>
      </c>
      <c r="M57" s="287">
        <f t="shared" si="6"/>
        <v>0</v>
      </c>
      <c r="N57" s="287">
        <f t="shared" si="6"/>
        <v>0</v>
      </c>
      <c r="O57" s="184" t="s">
        <v>145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137</v>
      </c>
      <c r="D58" s="187"/>
      <c r="E58" s="155" t="str">
        <f>E23</f>
        <v>MeteoGroup</v>
      </c>
      <c r="F58" s="155">
        <f t="shared" ref="F58:N58" si="7">F23</f>
        <v>0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4" t="s">
        <v>142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520</v>
      </c>
      <c r="D59" s="187"/>
      <c r="E59" s="155" t="str">
        <f>E24</f>
        <v>Weilerswist-Lommersum</v>
      </c>
      <c r="F59" s="155">
        <f t="shared" ref="F59:N59" si="8">F24</f>
        <v>0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521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514</v>
      </c>
      <c r="D60" s="187"/>
      <c r="E60" s="159">
        <f>E25</f>
        <v>191149</v>
      </c>
      <c r="F60" s="159">
        <f t="shared" ref="F60:N60" si="9">F25</f>
        <v>0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143</v>
      </c>
      <c r="W60" s="66"/>
      <c r="X60" s="66"/>
      <c r="Y60" s="66"/>
      <c r="Z60" s="66"/>
      <c r="AA60" s="66"/>
      <c r="AB60" s="66"/>
    </row>
    <row r="61" spans="2:28">
      <c r="B61" s="182"/>
      <c r="C61" s="186" t="s">
        <v>141</v>
      </c>
      <c r="D61" s="187"/>
      <c r="E61" s="157" t="s">
        <v>503</v>
      </c>
      <c r="F61" s="157">
        <f t="shared" ref="F61:N61" si="10">F26</f>
        <v>0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4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519</v>
      </c>
      <c r="D63" s="129"/>
      <c r="E63" s="129"/>
      <c r="F63" s="156">
        <f>F29</f>
        <v>1</v>
      </c>
    </row>
    <row r="64" spans="2:28" ht="15" customHeight="1">
      <c r="E64" s="177">
        <f>IF(E65&gt;$F$63,0,1)</f>
        <v>1</v>
      </c>
      <c r="F64" s="177">
        <f t="shared" ref="F64:N64" si="11">IF(F65&gt;$F$63,0,1)</f>
        <v>0</v>
      </c>
      <c r="G64" s="177">
        <f t="shared" si="11"/>
        <v>0</v>
      </c>
      <c r="H64" s="177">
        <f t="shared" si="11"/>
        <v>0</v>
      </c>
      <c r="I64" s="177">
        <f t="shared" si="11"/>
        <v>0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>
      <c r="B65" s="129"/>
      <c r="C65" s="178" t="s">
        <v>140</v>
      </c>
      <c r="D65" s="179" t="s">
        <v>256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144</v>
      </c>
    </row>
    <row r="66" spans="2:15">
      <c r="B66" s="182"/>
      <c r="C66" s="183" t="s">
        <v>526</v>
      </c>
      <c r="D66" s="185" t="s">
        <v>255</v>
      </c>
      <c r="E66" s="286">
        <f>1-SUMPRODUCT(F64:N64,F66:N66)</f>
        <v>1</v>
      </c>
      <c r="F66" s="286">
        <f>ROUND(F67/$D$67,4)</f>
        <v>0</v>
      </c>
      <c r="G66" s="286">
        <f t="shared" ref="G66:N66" si="12">ROUND(G67/$D$67,4)</f>
        <v>0.25</v>
      </c>
      <c r="H66" s="286">
        <f t="shared" si="12"/>
        <v>0.125</v>
      </c>
      <c r="I66" s="286">
        <f t="shared" si="12"/>
        <v>0</v>
      </c>
      <c r="J66" s="286">
        <f t="shared" si="12"/>
        <v>0</v>
      </c>
      <c r="K66" s="286">
        <f t="shared" si="12"/>
        <v>0</v>
      </c>
      <c r="L66" s="286">
        <f t="shared" si="12"/>
        <v>0</v>
      </c>
      <c r="M66" s="286">
        <f t="shared" si="12"/>
        <v>0</v>
      </c>
      <c r="N66" s="286">
        <f t="shared" si="12"/>
        <v>0</v>
      </c>
      <c r="O66" s="184"/>
    </row>
    <row r="67" spans="2:15">
      <c r="B67" s="182"/>
      <c r="C67" s="183" t="s">
        <v>533</v>
      </c>
      <c r="D67" s="185">
        <f>SUMPRODUCT(E67:N67,E64:N64)</f>
        <v>1</v>
      </c>
      <c r="E67" s="294">
        <f>E33</f>
        <v>1</v>
      </c>
      <c r="F67" s="294">
        <f t="shared" ref="F67:N67" si="13">F33</f>
        <v>0</v>
      </c>
      <c r="G67" s="294">
        <f t="shared" si="13"/>
        <v>0.25</v>
      </c>
      <c r="H67" s="294">
        <f t="shared" si="13"/>
        <v>0.125</v>
      </c>
      <c r="I67" s="294">
        <f t="shared" si="13"/>
        <v>0</v>
      </c>
      <c r="J67" s="294">
        <f t="shared" si="13"/>
        <v>0</v>
      </c>
      <c r="K67" s="294">
        <f t="shared" si="13"/>
        <v>0</v>
      </c>
      <c r="L67" s="294">
        <f t="shared" si="13"/>
        <v>0</v>
      </c>
      <c r="M67" s="294">
        <f t="shared" si="13"/>
        <v>0</v>
      </c>
      <c r="N67" s="294">
        <f t="shared" si="13"/>
        <v>0</v>
      </c>
      <c r="O67" s="184" t="s">
        <v>145</v>
      </c>
    </row>
    <row r="68" spans="2:15">
      <c r="B68" s="182"/>
      <c r="C68" s="186" t="s">
        <v>359</v>
      </c>
      <c r="D68" s="152" t="s">
        <v>358</v>
      </c>
      <c r="E68" s="155" t="str">
        <f>E34</f>
        <v>D</v>
      </c>
      <c r="F68" s="155">
        <f t="shared" ref="F68:N68" si="14">F34</f>
        <v>0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142</v>
      </c>
    </row>
    <row r="69" spans="2:15">
      <c r="B69" s="182"/>
      <c r="C69" s="186" t="s">
        <v>448</v>
      </c>
      <c r="D69" s="152" t="s">
        <v>447</v>
      </c>
      <c r="E69" s="158" t="str">
        <f>E35</f>
        <v>Gastag</v>
      </c>
      <c r="F69" s="158">
        <f t="shared" ref="F69:N69" si="15">F35</f>
        <v>0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142</v>
      </c>
    </row>
    <row r="70" spans="2:15">
      <c r="B70" s="182"/>
      <c r="C70" s="186" t="s">
        <v>605</v>
      </c>
      <c r="D70" s="152" t="s">
        <v>606</v>
      </c>
      <c r="E70" s="158" t="str">
        <f>E36</f>
        <v>CET/CEST</v>
      </c>
      <c r="F70" s="158">
        <f t="shared" ref="F70:N70" si="16">F36</f>
        <v>0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142</v>
      </c>
    </row>
    <row r="71" spans="2:15">
      <c r="B71" s="182"/>
      <c r="C71" s="191" t="s">
        <v>440</v>
      </c>
      <c r="D71" s="118" t="s">
        <v>538</v>
      </c>
      <c r="E71" s="162" t="s">
        <v>450</v>
      </c>
      <c r="F71" s="162" t="s">
        <v>450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142</v>
      </c>
    </row>
    <row r="72" spans="2:15"/>
    <row r="73" spans="2:15" ht="15.75" customHeight="1">
      <c r="C73" s="359" t="s">
        <v>580</v>
      </c>
      <c r="D73" s="359"/>
      <c r="E73" s="359"/>
      <c r="F73" s="359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2 F23:N25">
    <cfRule type="expression" dxfId="49" priority="30">
      <formula>IF(E$20&lt;=$F$18,1,0)</formula>
    </cfRule>
  </conditionalFormatting>
  <conditionalFormatting sqref="E33:N37">
    <cfRule type="expression" dxfId="48" priority="29">
      <formula>IF(E$31&lt;=$F$29,1,0)</formula>
    </cfRule>
  </conditionalFormatting>
  <conditionalFormatting sqref="E26:N26">
    <cfRule type="expression" dxfId="47" priority="28">
      <formula>IF(E$20&lt;=$F$18,1,0)</formula>
    </cfRule>
  </conditionalFormatting>
  <conditionalFormatting sqref="E26:N26">
    <cfRule type="expression" dxfId="46" priority="27">
      <formula>IF(E$20&lt;=$F$18,1,0)</formula>
    </cfRule>
  </conditionalFormatting>
  <conditionalFormatting sqref="E57:N60">
    <cfRule type="expression" dxfId="45" priority="24">
      <formula>IF(E$55&lt;=$F$53,1,0)</formula>
    </cfRule>
  </conditionalFormatting>
  <conditionalFormatting sqref="E61:N61">
    <cfRule type="expression" dxfId="44" priority="23">
      <formula>IF(E$55&lt;=$F$53,1,0)</formula>
    </cfRule>
  </conditionalFormatting>
  <conditionalFormatting sqref="E67:N69">
    <cfRule type="expression" dxfId="43" priority="17">
      <formula>IF(E$65&lt;=$F$63,1,0)</formula>
    </cfRule>
  </conditionalFormatting>
  <conditionalFormatting sqref="E66:N69 E71:N71">
    <cfRule type="expression" dxfId="42" priority="15">
      <formula>IF(E$65&gt;$F$63,1,0)</formula>
    </cfRule>
  </conditionalFormatting>
  <conditionalFormatting sqref="E57:N61">
    <cfRule type="expression" dxfId="41" priority="14">
      <formula>IF(E$55&gt;$F$53,1,0)</formula>
    </cfRule>
  </conditionalFormatting>
  <conditionalFormatting sqref="E21:N22 E26:N26 F23:N25">
    <cfRule type="expression" dxfId="40" priority="13">
      <formula>IF(E$20&gt;$F$18,1,0)</formula>
    </cfRule>
  </conditionalFormatting>
  <conditionalFormatting sqref="E33:N37">
    <cfRule type="expression" dxfId="39" priority="12">
      <formula>IF(E$31&gt;$F$29,1,0)</formula>
    </cfRule>
  </conditionalFormatting>
  <conditionalFormatting sqref="H11 H8:H9">
    <cfRule type="expression" dxfId="38" priority="11">
      <formula>IF($F$9=1,1,0)</formula>
    </cfRule>
  </conditionalFormatting>
  <conditionalFormatting sqref="E56:N56">
    <cfRule type="expression" dxfId="37" priority="10">
      <formula>IF(E$55&gt;$F$53,1,0)</formula>
    </cfRule>
  </conditionalFormatting>
  <conditionalFormatting sqref="E32:N32">
    <cfRule type="expression" dxfId="36" priority="9">
      <formula>IF(E$31&gt;$F$29,1,0)</formula>
    </cfRule>
  </conditionalFormatting>
  <conditionalFormatting sqref="E71:N71">
    <cfRule type="expression" dxfId="35" priority="8">
      <formula>IF(E$65&lt;=$F$63,1,0)</formula>
    </cfRule>
  </conditionalFormatting>
  <conditionalFormatting sqref="H10">
    <cfRule type="expression" dxfId="34" priority="7">
      <formula>IF($F$9=1,1,0)</formula>
    </cfRule>
  </conditionalFormatting>
  <conditionalFormatting sqref="E70:N70">
    <cfRule type="expression" dxfId="33" priority="4">
      <formula>IF(E$65&lt;=$F$63,1,0)</formula>
    </cfRule>
  </conditionalFormatting>
  <conditionalFormatting sqref="E70:N70">
    <cfRule type="expression" dxfId="32" priority="3">
      <formula>IF(E$65&gt;$F$63,1,0)</formula>
    </cfRule>
  </conditionalFormatting>
  <conditionalFormatting sqref="E23:E25">
    <cfRule type="expression" dxfId="31" priority="2">
      <formula>IF(E$20&lt;=$F$18,1,0)</formula>
    </cfRule>
  </conditionalFormatting>
  <conditionalFormatting sqref="E23:E25">
    <cfRule type="expression" dxfId="30" priority="1">
      <formula>IF(E$20&gt;$F$18,1,0)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 E57:N60 E22 I22:N22 F53 F63 G24:N24 G71:N71 E33:E35 E70:N70 G25:N25 G37:N37 G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">
        <v>484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tr">
        <f>Netzbetreiber!D28</f>
        <v>e-regio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8">
        <v>2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5">
        <f>INDEX('SLP-Verfahren'!D45:D59,'SLP-Temp-Gebiet #02'!F10)</f>
        <v>0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30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517</v>
      </c>
      <c r="C17" s="176"/>
      <c r="D17" s="30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>
      <c r="B18" s="129"/>
      <c r="C18" s="54" t="s">
        <v>523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2"/>
      <c r="C21" s="183" t="s">
        <v>525</v>
      </c>
      <c r="D21" s="152" t="s">
        <v>515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2"/>
      <c r="C22" s="183" t="s">
        <v>537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2"/>
      <c r="C24" s="186" t="s">
        <v>520</v>
      </c>
      <c r="D24" s="187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2"/>
      <c r="C25" s="186" t="s">
        <v>514</v>
      </c>
      <c r="D25" s="187"/>
      <c r="E25" s="159" t="s">
        <v>361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2"/>
      <c r="C26" s="186" t="s">
        <v>141</v>
      </c>
      <c r="D26" s="187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503</v>
      </c>
      <c r="S26" s="66" t="s">
        <v>504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519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2"/>
      <c r="C30" s="178" t="s">
        <v>140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2"/>
      <c r="C31" s="183" t="s">
        <v>526</v>
      </c>
      <c r="D31" s="185" t="s">
        <v>255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2"/>
      <c r="C32" s="183" t="s">
        <v>533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6" t="s">
        <v>359</v>
      </c>
      <c r="D33" s="152" t="s">
        <v>358</v>
      </c>
      <c r="E33" s="155" t="s">
        <v>3</v>
      </c>
      <c r="F33" s="155" t="s">
        <v>357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357</v>
      </c>
      <c r="T33" s="66" t="s">
        <v>348</v>
      </c>
      <c r="U33" s="66" t="s">
        <v>349</v>
      </c>
      <c r="V33" s="66" t="s">
        <v>350</v>
      </c>
      <c r="W33" s="66" t="s">
        <v>351</v>
      </c>
      <c r="X33" s="66" t="s">
        <v>352</v>
      </c>
      <c r="Y33" s="66" t="s">
        <v>353</v>
      </c>
      <c r="Z33" s="66" t="s">
        <v>354</v>
      </c>
      <c r="AA33" s="66" t="s">
        <v>355</v>
      </c>
      <c r="AB33" s="66" t="s">
        <v>356</v>
      </c>
    </row>
    <row r="34" spans="2:28">
      <c r="B34" s="182"/>
      <c r="C34" s="186" t="s">
        <v>448</v>
      </c>
      <c r="D34" s="152" t="s">
        <v>447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511</v>
      </c>
      <c r="S34" s="66" t="s">
        <v>512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2"/>
      <c r="C35" s="186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4" t="s">
        <v>142</v>
      </c>
      <c r="Q35" s="210"/>
      <c r="R35" s="66" t="s">
        <v>604</v>
      </c>
      <c r="S35" s="66" t="s">
        <v>607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91" t="s">
        <v>440</v>
      </c>
      <c r="D36" s="118" t="s">
        <v>538</v>
      </c>
      <c r="E36" s="161" t="s">
        <v>449</v>
      </c>
      <c r="F36" s="161" t="s">
        <v>449</v>
      </c>
      <c r="G36" s="161" t="s">
        <v>450</v>
      </c>
      <c r="H36" s="161" t="s">
        <v>450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450</v>
      </c>
      <c r="S36" s="66" t="s">
        <v>449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2"/>
      <c r="C38" s="193" t="s">
        <v>267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347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524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360</v>
      </c>
      <c r="K46" s="197"/>
      <c r="L46" s="197"/>
      <c r="M46" s="197"/>
      <c r="N46" s="197"/>
      <c r="O46" s="198"/>
    </row>
    <row r="47" spans="2:28">
      <c r="B47" s="192"/>
      <c r="C47" s="199" t="s">
        <v>346</v>
      </c>
      <c r="D47" s="200" t="s">
        <v>534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5" t="s">
        <v>579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>
      <c r="B52" s="129"/>
      <c r="C52" s="54" t="s">
        <v>543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518</v>
      </c>
      <c r="D54" s="179" t="s">
        <v>513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>
      <c r="B55" s="182"/>
      <c r="C55" s="183" t="s">
        <v>525</v>
      </c>
      <c r="D55" s="152" t="s">
        <v>515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>
      <c r="B56" s="182"/>
      <c r="C56" s="183" t="s">
        <v>537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520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521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514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519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140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526</v>
      </c>
      <c r="D65" s="185" t="s">
        <v>255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>
      <c r="B66" s="182"/>
      <c r="C66" s="183" t="s">
        <v>533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145</v>
      </c>
    </row>
    <row r="67" spans="2:15">
      <c r="B67" s="182"/>
      <c r="C67" s="186" t="s">
        <v>359</v>
      </c>
      <c r="D67" s="152" t="s">
        <v>358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>
      <c r="B68" s="182"/>
      <c r="C68" s="186" t="s">
        <v>448</v>
      </c>
      <c r="D68" s="152" t="s">
        <v>447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>
      <c r="B69" s="182"/>
      <c r="C69" s="186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>
      <c r="B70" s="182"/>
      <c r="C70" s="191" t="s">
        <v>440</v>
      </c>
      <c r="D70" s="118" t="s">
        <v>538</v>
      </c>
      <c r="E70" s="162" t="s">
        <v>450</v>
      </c>
      <c r="F70" s="162" t="s">
        <v>450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/>
    <row r="72" spans="2:15" ht="15.75" customHeight="1">
      <c r="C72" s="359" t="s">
        <v>580</v>
      </c>
      <c r="D72" s="359"/>
      <c r="E72" s="359"/>
      <c r="F72" s="359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J8" sqref="J8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362</v>
      </c>
    </row>
    <row r="3" spans="2:26">
      <c r="B3" s="129" t="s">
        <v>463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367</v>
      </c>
      <c r="D5" s="52" t="str">
        <f>Netzbetreiber!$D$9</f>
        <v>e-regio GmbH % Co. KG</v>
      </c>
      <c r="E5" s="129"/>
      <c r="H5" s="87" t="s">
        <v>495</v>
      </c>
      <c r="I5" s="130" t="s">
        <v>498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334</v>
      </c>
      <c r="D6" s="52" t="str">
        <f>Netzbetreiber!$D$28</f>
        <v>e-regio</v>
      </c>
      <c r="E6" s="129"/>
      <c r="F6" s="129"/>
      <c r="I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485</v>
      </c>
      <c r="D7" s="52">
        <f>Netzbetreiber!$D$11</f>
        <v>9870011300009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50">
        <f>Netzbetreiber!$D$6</f>
        <v>44652</v>
      </c>
      <c r="E8" s="129"/>
      <c r="F8" s="129"/>
      <c r="H8" s="127" t="s">
        <v>493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492</v>
      </c>
      <c r="D10" s="133" t="s">
        <v>147</v>
      </c>
      <c r="E10" s="276" t="s">
        <v>510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5" t="s">
        <v>637</v>
      </c>
      <c r="S10" s="136" t="s">
        <v>638</v>
      </c>
      <c r="T10" s="136" t="s">
        <v>639</v>
      </c>
      <c r="U10" s="136" t="s">
        <v>640</v>
      </c>
      <c r="V10" s="136" t="s">
        <v>641</v>
      </c>
      <c r="W10" s="136" t="s">
        <v>642</v>
      </c>
      <c r="X10" s="137" t="s">
        <v>643</v>
      </c>
      <c r="Y10" s="304" t="s">
        <v>648</v>
      </c>
    </row>
    <row r="11" spans="2:26" ht="15.75" thickBot="1">
      <c r="B11" s="138" t="s">
        <v>494</v>
      </c>
      <c r="C11" s="139" t="s">
        <v>509</v>
      </c>
      <c r="D11" s="303" t="s">
        <v>248</v>
      </c>
      <c r="E11" s="163" t="s">
        <v>516</v>
      </c>
      <c r="F11" s="30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1">
        <v>365.12299999999999</v>
      </c>
    </row>
    <row r="12" spans="2:26">
      <c r="B12" s="140">
        <v>1</v>
      </c>
      <c r="C12" s="141" t="str">
        <f t="shared" ref="C12:C41" si="0">$D$6</f>
        <v>e-regio</v>
      </c>
      <c r="D12" s="61" t="s">
        <v>248</v>
      </c>
      <c r="E12" s="165" t="s">
        <v>667</v>
      </c>
      <c r="F12" s="306" t="str">
        <f>VLOOKUP($E12,'BDEW-Standard'!$B$3:$M$94,F$9,0)</f>
        <v>BA4</v>
      </c>
      <c r="H12" s="277">
        <f>ROUND(VLOOKUP($E12,'BDEW-Standard'!$B$3:$M$94,H$9,0),7)</f>
        <v>0.93158890000000005</v>
      </c>
      <c r="I12" s="277">
        <f>ROUND(VLOOKUP($E12,'BDEW-Standard'!$B$3:$M$94,I$9,0),7)</f>
        <v>-33.35</v>
      </c>
      <c r="J12" s="277">
        <f>ROUND(VLOOKUP($E12,'BDEW-Standard'!$B$3:$M$94,J$9,0),7)</f>
        <v>5.7212303000000002</v>
      </c>
      <c r="K12" s="277">
        <f>ROUND(VLOOKUP($E12,'BDEW-Standard'!$B$3:$M$94,K$9,0),7)</f>
        <v>0.66564939999999995</v>
      </c>
      <c r="L12" s="278">
        <f>ROUND(VLOOKUP($E12,'BDEW-Standard'!$B$3:$M$94,L$9,0),1)</f>
        <v>40</v>
      </c>
      <c r="M12" s="277">
        <f>ROUND(VLOOKUP($E12,'BDEW-Standard'!$B$3:$M$94,M$9,0),7)</f>
        <v>0</v>
      </c>
      <c r="N12" s="277">
        <f>ROUND(VLOOKUP($E12,'BDEW-Standard'!$B$3:$M$94,N$9,0),7)</f>
        <v>0</v>
      </c>
      <c r="O12" s="277">
        <f>ROUND(VLOOKUP($E12,'BDEW-Standard'!$B$3:$M$94,O$9,0),7)</f>
        <v>0</v>
      </c>
      <c r="P12" s="277">
        <f>ROUND(VLOOKUP($E12,'BDEW-Standard'!$B$3:$M$94,P$9,0),7)</f>
        <v>0</v>
      </c>
      <c r="Q12" s="279">
        <f t="shared" ref="Q12:Q25" si="1">($H12/(1+($I12/($Q$9-$L12))^$J12)+$K12)+MAX($M12*$Q$9+$N12,$O12*$Q$9+$P12)</f>
        <v>1.0766391850538448</v>
      </c>
      <c r="R12" s="280">
        <f>ROUND(VLOOKUP(MID($E12,4,3),'Wochentag F(WT)'!$B$7:$J$22,R$9,0),4)</f>
        <v>1.0848</v>
      </c>
      <c r="S12" s="280">
        <f>ROUND(VLOOKUP(MID($E12,4,3),'Wochentag F(WT)'!$B$7:$J$22,S$9,0),4)</f>
        <v>1.1211</v>
      </c>
      <c r="T12" s="280">
        <f>ROUND(VLOOKUP(MID($E12,4,3),'Wochentag F(WT)'!$B$7:$J$22,T$9,0),4)</f>
        <v>1.0769</v>
      </c>
      <c r="U12" s="280">
        <f>ROUND(VLOOKUP(MID($E12,4,3),'Wochentag F(WT)'!$B$7:$J$22,U$9,0),4)</f>
        <v>1.1353</v>
      </c>
      <c r="V12" s="280">
        <f>ROUND(VLOOKUP(MID($E12,4,3),'Wochentag F(WT)'!$B$7:$J$22,V$9,0),4)</f>
        <v>1.1402000000000001</v>
      </c>
      <c r="W12" s="280">
        <f>ROUND(VLOOKUP(MID($E12,4,3),'Wochentag F(WT)'!$B$7:$J$22,W$9,0),4)</f>
        <v>0.48520000000000002</v>
      </c>
      <c r="X12" s="281">
        <f>7-SUM(R12:W12)</f>
        <v>0.95650000000000013</v>
      </c>
      <c r="Y12" s="302"/>
      <c r="Z12" s="211"/>
    </row>
    <row r="13" spans="2:26" s="142" customFormat="1">
      <c r="B13" s="143">
        <v>2</v>
      </c>
      <c r="C13" s="144" t="str">
        <f t="shared" si="0"/>
        <v>e-regio</v>
      </c>
      <c r="D13" s="61" t="s">
        <v>248</v>
      </c>
      <c r="E13" s="165" t="s">
        <v>668</v>
      </c>
      <c r="F13" s="306" t="str">
        <f>VLOOKUP($E13,'BDEW-Standard'!$B$3:$M$94,F$9,0)</f>
        <v>BD4</v>
      </c>
      <c r="H13" s="277">
        <f>ROUND(VLOOKUP($E13,'BDEW-Standard'!$B$3:$M$94,H$9,0),7)</f>
        <v>3.75</v>
      </c>
      <c r="I13" s="277">
        <f>ROUND(VLOOKUP($E13,'BDEW-Standard'!$B$3:$M$94,I$9,0),7)</f>
        <v>-37.5</v>
      </c>
      <c r="J13" s="277">
        <f>ROUND(VLOOKUP($E13,'BDEW-Standard'!$B$3:$M$94,J$9,0),7)</f>
        <v>6.8</v>
      </c>
      <c r="K13" s="277">
        <f>ROUND(VLOOKUP($E13,'BDEW-Standard'!$B$3:$M$94,K$9,0),7)</f>
        <v>6.0911300000000002E-2</v>
      </c>
      <c r="L13" s="278">
        <f>ROUND(VLOOKUP($E13,'BDEW-Standard'!$B$3:$M$94,L$9,0),1)</f>
        <v>40</v>
      </c>
      <c r="M13" s="277">
        <f>ROUND(VLOOKUP($E13,'BDEW-Standard'!$B$3:$M$94,M$9,0),7)</f>
        <v>0</v>
      </c>
      <c r="N13" s="277">
        <f>ROUND(VLOOKUP($E13,'BDEW-Standard'!$B$3:$M$94,N$9,0),7)</f>
        <v>0</v>
      </c>
      <c r="O13" s="277">
        <f>ROUND(VLOOKUP($E13,'BDEW-Standard'!$B$3:$M$94,O$9,0),7)</f>
        <v>0</v>
      </c>
      <c r="P13" s="277">
        <f>ROUND(VLOOKUP($E13,'BDEW-Standard'!$B$3:$M$94,P$9,0),7)</f>
        <v>0</v>
      </c>
      <c r="Q13" s="279">
        <f t="shared" si="1"/>
        <v>1.0126136468627658</v>
      </c>
      <c r="R13" s="280">
        <f>ROUND(VLOOKUP(MID($E13,4,3),'Wochentag F(WT)'!$B$7:$J$22,R$9,0),4)</f>
        <v>1.1052</v>
      </c>
      <c r="S13" s="280">
        <f>ROUND(VLOOKUP(MID($E13,4,3),'Wochentag F(WT)'!$B$7:$J$22,S$9,0),4)</f>
        <v>1.0857000000000001</v>
      </c>
      <c r="T13" s="280">
        <f>ROUND(VLOOKUP(MID($E13,4,3),'Wochentag F(WT)'!$B$7:$J$22,T$9,0),4)</f>
        <v>1.0378000000000001</v>
      </c>
      <c r="U13" s="280">
        <f>ROUND(VLOOKUP(MID($E13,4,3),'Wochentag F(WT)'!$B$7:$J$22,U$9,0),4)</f>
        <v>1.0622</v>
      </c>
      <c r="V13" s="280">
        <f>ROUND(VLOOKUP(MID($E13,4,3),'Wochentag F(WT)'!$B$7:$J$22,V$9,0),4)</f>
        <v>1.0266</v>
      </c>
      <c r="W13" s="280">
        <f>ROUND(VLOOKUP(MID($E13,4,3),'Wochentag F(WT)'!$B$7:$J$22,W$9,0),4)</f>
        <v>0.76290000000000002</v>
      </c>
      <c r="X13" s="281">
        <f t="shared" ref="X13:X25" si="2">7-SUM(R13:W13)</f>
        <v>0.91959999999999997</v>
      </c>
      <c r="Y13" s="302"/>
      <c r="Z13" s="211"/>
    </row>
    <row r="14" spans="2:26" s="142" customFormat="1">
      <c r="B14" s="143">
        <v>3</v>
      </c>
      <c r="C14" s="144" t="str">
        <f t="shared" si="0"/>
        <v>e-regio</v>
      </c>
      <c r="D14" s="61" t="s">
        <v>248</v>
      </c>
      <c r="E14" s="165" t="s">
        <v>669</v>
      </c>
      <c r="F14" s="306" t="str">
        <f>VLOOKUP($E14,'BDEW-Standard'!$B$3:$M$94,F$9,0)</f>
        <v>BH4</v>
      </c>
      <c r="H14" s="277">
        <f>ROUND(VLOOKUP($E14,'BDEW-Standard'!$B$3:$M$94,H$9,0),7)</f>
        <v>2.4595180999999999</v>
      </c>
      <c r="I14" s="277">
        <f>ROUND(VLOOKUP($E14,'BDEW-Standard'!$B$3:$M$94,I$9,0),7)</f>
        <v>-35.253212400000002</v>
      </c>
      <c r="J14" s="277">
        <f>ROUND(VLOOKUP($E14,'BDEW-Standard'!$B$3:$M$94,J$9,0),7)</f>
        <v>6.0587001000000003</v>
      </c>
      <c r="K14" s="277">
        <f>ROUND(VLOOKUP($E14,'BDEW-Standard'!$B$3:$M$94,K$9,0),7)</f>
        <v>0.16473699999999999</v>
      </c>
      <c r="L14" s="278">
        <f>ROUND(VLOOKUP($E14,'BDEW-Standard'!$B$3:$M$94,L$9,0),1)</f>
        <v>40</v>
      </c>
      <c r="M14" s="277">
        <f>ROUND(VLOOKUP($E14,'BDEW-Standard'!$B$3:$M$94,M$9,0),7)</f>
        <v>0</v>
      </c>
      <c r="N14" s="277">
        <f>ROUND(VLOOKUP($E14,'BDEW-Standard'!$B$3:$M$94,N$9,0),7)</f>
        <v>0</v>
      </c>
      <c r="O14" s="277">
        <f>ROUND(VLOOKUP($E14,'BDEW-Standard'!$B$3:$M$94,O$9,0),7)</f>
        <v>0</v>
      </c>
      <c r="P14" s="277">
        <f>ROUND(VLOOKUP($E14,'BDEW-Standard'!$B$3:$M$94,P$9,0),7)</f>
        <v>0</v>
      </c>
      <c r="Q14" s="279">
        <f t="shared" si="1"/>
        <v>1.043802057143173</v>
      </c>
      <c r="R14" s="280">
        <f>ROUND(VLOOKUP(MID($E14,4,3),'Wochentag F(WT)'!$B$7:$J$22,R$9,0),4)</f>
        <v>0.97670000000000001</v>
      </c>
      <c r="S14" s="280">
        <f>ROUND(VLOOKUP(MID($E14,4,3),'Wochentag F(WT)'!$B$7:$J$22,S$9,0),4)</f>
        <v>1.0388999999999999</v>
      </c>
      <c r="T14" s="280">
        <f>ROUND(VLOOKUP(MID($E14,4,3),'Wochentag F(WT)'!$B$7:$J$22,T$9,0),4)</f>
        <v>1.0027999999999999</v>
      </c>
      <c r="U14" s="280">
        <f>ROUND(VLOOKUP(MID($E14,4,3),'Wochentag F(WT)'!$B$7:$J$22,U$9,0),4)</f>
        <v>1.0162</v>
      </c>
      <c r="V14" s="280">
        <f>ROUND(VLOOKUP(MID($E14,4,3),'Wochentag F(WT)'!$B$7:$J$22,V$9,0),4)</f>
        <v>1.0024</v>
      </c>
      <c r="W14" s="280">
        <f>ROUND(VLOOKUP(MID($E14,4,3),'Wochentag F(WT)'!$B$7:$J$22,W$9,0),4)</f>
        <v>1.0043</v>
      </c>
      <c r="X14" s="281">
        <f t="shared" si="2"/>
        <v>0.95870000000000122</v>
      </c>
      <c r="Y14" s="302"/>
      <c r="Z14" s="211"/>
    </row>
    <row r="15" spans="2:26" s="142" customFormat="1">
      <c r="B15" s="143">
        <v>4</v>
      </c>
      <c r="C15" s="144" t="str">
        <f t="shared" si="0"/>
        <v>e-regio</v>
      </c>
      <c r="D15" s="61" t="s">
        <v>248</v>
      </c>
      <c r="E15" s="165" t="s">
        <v>670</v>
      </c>
      <c r="F15" s="306" t="str">
        <f>VLOOKUP($E15,'BDEW-Standard'!$B$3:$M$94,F$9,0)</f>
        <v>GA4</v>
      </c>
      <c r="H15" s="277">
        <f>ROUND(VLOOKUP($E15,'BDEW-Standard'!$B$3:$M$94,H$9,0),7)</f>
        <v>2.8195655999999998</v>
      </c>
      <c r="I15" s="277">
        <f>ROUND(VLOOKUP($E15,'BDEW-Standard'!$B$3:$M$94,I$9,0),7)</f>
        <v>-36</v>
      </c>
      <c r="J15" s="277">
        <f>ROUND(VLOOKUP($E15,'BDEW-Standard'!$B$3:$M$94,J$9,0),7)</f>
        <v>7.7368518000000002</v>
      </c>
      <c r="K15" s="277">
        <f>ROUND(VLOOKUP($E15,'BDEW-Standard'!$B$3:$M$94,K$9,0),7)</f>
        <v>0.157281</v>
      </c>
      <c r="L15" s="278">
        <f>ROUND(VLOOKUP($E15,'BDEW-Standard'!$B$3:$M$94,L$9,0),1)</f>
        <v>40</v>
      </c>
      <c r="M15" s="277">
        <f>ROUND(VLOOKUP($E15,'BDEW-Standard'!$B$3:$M$94,M$9,0),7)</f>
        <v>0</v>
      </c>
      <c r="N15" s="277">
        <f>ROUND(VLOOKUP($E15,'BDEW-Standard'!$B$3:$M$94,N$9,0),7)</f>
        <v>0</v>
      </c>
      <c r="O15" s="277">
        <f>ROUND(VLOOKUP($E15,'BDEW-Standard'!$B$3:$M$94,O$9,0),7)</f>
        <v>0</v>
      </c>
      <c r="P15" s="277">
        <f>ROUND(VLOOKUP($E15,'BDEW-Standard'!$B$3:$M$94,P$9,0),7)</f>
        <v>0</v>
      </c>
      <c r="Q15" s="279">
        <f t="shared" si="1"/>
        <v>0.96576337685759206</v>
      </c>
      <c r="R15" s="280">
        <f>ROUND(VLOOKUP(MID($E15,4,3),'Wochentag F(WT)'!$B$7:$J$22,R$9,0),4)</f>
        <v>0.93220000000000003</v>
      </c>
      <c r="S15" s="280">
        <f>ROUND(VLOOKUP(MID($E15,4,3),'Wochentag F(WT)'!$B$7:$J$22,S$9,0),4)</f>
        <v>0.98939999999999995</v>
      </c>
      <c r="T15" s="280">
        <f>ROUND(VLOOKUP(MID($E15,4,3),'Wochentag F(WT)'!$B$7:$J$22,T$9,0),4)</f>
        <v>1.0033000000000001</v>
      </c>
      <c r="U15" s="280">
        <f>ROUND(VLOOKUP(MID($E15,4,3),'Wochentag F(WT)'!$B$7:$J$22,U$9,0),4)</f>
        <v>1.0108999999999999</v>
      </c>
      <c r="V15" s="280">
        <f>ROUND(VLOOKUP(MID($E15,4,3),'Wochentag F(WT)'!$B$7:$J$22,V$9,0),4)</f>
        <v>1.018</v>
      </c>
      <c r="W15" s="280">
        <f>ROUND(VLOOKUP(MID($E15,4,3),'Wochentag F(WT)'!$B$7:$J$22,W$9,0),4)</f>
        <v>1.0356000000000001</v>
      </c>
      <c r="X15" s="281">
        <f t="shared" si="2"/>
        <v>1.0106000000000002</v>
      </c>
      <c r="Y15" s="302"/>
      <c r="Z15" s="211"/>
    </row>
    <row r="16" spans="2:26" s="142" customFormat="1">
      <c r="B16" s="143">
        <v>5</v>
      </c>
      <c r="C16" s="144" t="str">
        <f t="shared" si="0"/>
        <v>e-regio</v>
      </c>
      <c r="D16" s="61" t="s">
        <v>248</v>
      </c>
      <c r="E16" s="165" t="s">
        <v>671</v>
      </c>
      <c r="F16" s="306" t="str">
        <f>VLOOKUP($E16,'BDEW-Standard'!$B$3:$M$94,F$9,0)</f>
        <v>GB4</v>
      </c>
      <c r="H16" s="277">
        <f>ROUND(VLOOKUP($E16,'BDEW-Standard'!$B$3:$M$94,H$9,0),7)</f>
        <v>3.6017736</v>
      </c>
      <c r="I16" s="277">
        <f>ROUND(VLOOKUP($E16,'BDEW-Standard'!$B$3:$M$94,I$9,0),7)</f>
        <v>-37.882536799999997</v>
      </c>
      <c r="J16" s="277">
        <f>ROUND(VLOOKUP($E16,'BDEW-Standard'!$B$3:$M$94,J$9,0),7)</f>
        <v>6.9836070000000001</v>
      </c>
      <c r="K16" s="277">
        <f>ROUND(VLOOKUP($E16,'BDEW-Standard'!$B$3:$M$94,K$9,0),7)</f>
        <v>5.4826199999999999E-2</v>
      </c>
      <c r="L16" s="278">
        <f>ROUND(VLOOKUP($E16,'BDEW-Standard'!$B$3:$M$94,L$9,0),1)</f>
        <v>40</v>
      </c>
      <c r="M16" s="277">
        <f>ROUND(VLOOKUP($E16,'BDEW-Standard'!$B$3:$M$94,M$9,0),7)</f>
        <v>0</v>
      </c>
      <c r="N16" s="277">
        <f>ROUND(VLOOKUP($E16,'BDEW-Standard'!$B$3:$M$94,N$9,0),7)</f>
        <v>0</v>
      </c>
      <c r="O16" s="277">
        <f>ROUND(VLOOKUP($E16,'BDEW-Standard'!$B$3:$M$94,O$9,0),7)</f>
        <v>0</v>
      </c>
      <c r="P16" s="277">
        <f>ROUND(VLOOKUP($E16,'BDEW-Standard'!$B$3:$M$94,P$9,0),7)</f>
        <v>0</v>
      </c>
      <c r="Q16" s="279">
        <f t="shared" si="1"/>
        <v>0.90239375975311864</v>
      </c>
      <c r="R16" s="280">
        <f>ROUND(VLOOKUP(MID($E16,4,3),'Wochentag F(WT)'!$B$7:$J$22,R$9,0),4)</f>
        <v>0.98970000000000002</v>
      </c>
      <c r="S16" s="280">
        <f>ROUND(VLOOKUP(MID($E16,4,3),'Wochentag F(WT)'!$B$7:$J$22,S$9,0),4)</f>
        <v>0.9627</v>
      </c>
      <c r="T16" s="280">
        <f>ROUND(VLOOKUP(MID($E16,4,3),'Wochentag F(WT)'!$B$7:$J$22,T$9,0),4)</f>
        <v>1.0507</v>
      </c>
      <c r="U16" s="280">
        <f>ROUND(VLOOKUP(MID($E16,4,3),'Wochentag F(WT)'!$B$7:$J$22,U$9,0),4)</f>
        <v>1.0551999999999999</v>
      </c>
      <c r="V16" s="280">
        <f>ROUND(VLOOKUP(MID($E16,4,3),'Wochentag F(WT)'!$B$7:$J$22,V$9,0),4)</f>
        <v>1.0297000000000001</v>
      </c>
      <c r="W16" s="280">
        <f>ROUND(VLOOKUP(MID($E16,4,3),'Wochentag F(WT)'!$B$7:$J$22,W$9,0),4)</f>
        <v>0.97670000000000001</v>
      </c>
      <c r="X16" s="281">
        <f t="shared" si="2"/>
        <v>0.9352999999999998</v>
      </c>
      <c r="Y16" s="302"/>
      <c r="Z16" s="211"/>
    </row>
    <row r="17" spans="2:26" s="142" customFormat="1">
      <c r="B17" s="143">
        <v>6</v>
      </c>
      <c r="C17" s="144" t="str">
        <f t="shared" si="0"/>
        <v>e-regio</v>
      </c>
      <c r="D17" s="61" t="s">
        <v>248</v>
      </c>
      <c r="E17" s="165" t="s">
        <v>672</v>
      </c>
      <c r="F17" s="306" t="str">
        <f>VLOOKUP($E17,'BDEW-Standard'!$B$3:$M$94,F$9,0)</f>
        <v>HA4</v>
      </c>
      <c r="H17" s="277">
        <f>ROUND(VLOOKUP($E17,'BDEW-Standard'!$B$3:$M$94,H$9,0),7)</f>
        <v>4.0196902000000003</v>
      </c>
      <c r="I17" s="277">
        <f>ROUND(VLOOKUP($E17,'BDEW-Standard'!$B$3:$M$94,I$9,0),7)</f>
        <v>-37.828203700000003</v>
      </c>
      <c r="J17" s="277">
        <f>ROUND(VLOOKUP($E17,'BDEW-Standard'!$B$3:$M$94,J$9,0),7)</f>
        <v>8.1593368999999996</v>
      </c>
      <c r="K17" s="277">
        <f>ROUND(VLOOKUP($E17,'BDEW-Standard'!$B$3:$M$94,K$9,0),7)</f>
        <v>4.72845E-2</v>
      </c>
      <c r="L17" s="278">
        <f>ROUND(VLOOKUP($E17,'BDEW-Standard'!$B$3:$M$94,L$9,0),1)</f>
        <v>40</v>
      </c>
      <c r="M17" s="277">
        <f>ROUND(VLOOKUP($E17,'BDEW-Standard'!$B$3:$M$94,M$9,0),7)</f>
        <v>0</v>
      </c>
      <c r="N17" s="277">
        <f>ROUND(VLOOKUP($E17,'BDEW-Standard'!$B$3:$M$94,N$9,0),7)</f>
        <v>0</v>
      </c>
      <c r="O17" s="277">
        <f>ROUND(VLOOKUP($E17,'BDEW-Standard'!$B$3:$M$94,O$9,0),7)</f>
        <v>0</v>
      </c>
      <c r="P17" s="277">
        <f>ROUND(VLOOKUP($E17,'BDEW-Standard'!$B$3:$M$94,P$9,0),7)</f>
        <v>0</v>
      </c>
      <c r="Q17" s="279">
        <f t="shared" si="1"/>
        <v>0.86486713303260787</v>
      </c>
      <c r="R17" s="280">
        <f>ROUND(VLOOKUP(MID($E17,4,3),'Wochentag F(WT)'!$B$7:$J$22,R$9,0),4)</f>
        <v>1.0358000000000001</v>
      </c>
      <c r="S17" s="280">
        <f>ROUND(VLOOKUP(MID($E17,4,3),'Wochentag F(WT)'!$B$7:$J$22,S$9,0),4)</f>
        <v>1.0232000000000001</v>
      </c>
      <c r="T17" s="280">
        <f>ROUND(VLOOKUP(MID($E17,4,3),'Wochentag F(WT)'!$B$7:$J$22,T$9,0),4)</f>
        <v>1.0251999999999999</v>
      </c>
      <c r="U17" s="280">
        <f>ROUND(VLOOKUP(MID($E17,4,3),'Wochentag F(WT)'!$B$7:$J$22,U$9,0),4)</f>
        <v>1.0295000000000001</v>
      </c>
      <c r="V17" s="280">
        <f>ROUND(VLOOKUP(MID($E17,4,3),'Wochentag F(WT)'!$B$7:$J$22,V$9,0),4)</f>
        <v>1.0253000000000001</v>
      </c>
      <c r="W17" s="280">
        <f>ROUND(VLOOKUP(MID($E17,4,3),'Wochentag F(WT)'!$B$7:$J$22,W$9,0),4)</f>
        <v>0.96750000000000003</v>
      </c>
      <c r="X17" s="281">
        <f t="shared" si="2"/>
        <v>0.89350000000000041</v>
      </c>
      <c r="Y17" s="302"/>
      <c r="Z17" s="211"/>
    </row>
    <row r="18" spans="2:26" s="142" customFormat="1">
      <c r="B18" s="143">
        <v>7</v>
      </c>
      <c r="C18" s="144" t="str">
        <f t="shared" si="0"/>
        <v>e-regio</v>
      </c>
      <c r="D18" s="61" t="s">
        <v>248</v>
      </c>
      <c r="E18" s="165" t="s">
        <v>673</v>
      </c>
      <c r="F18" s="306" t="str">
        <f>VLOOKUP($E18,'BDEW-Standard'!$B$3:$M$94,F$9,0)</f>
        <v>KO4</v>
      </c>
      <c r="H18" s="277">
        <f>ROUND(VLOOKUP($E18,'BDEW-Standard'!$B$3:$M$94,H$9,0),7)</f>
        <v>3.4428942999999999</v>
      </c>
      <c r="I18" s="277">
        <f>ROUND(VLOOKUP($E18,'BDEW-Standard'!$B$3:$M$94,I$9,0),7)</f>
        <v>-36.659050399999998</v>
      </c>
      <c r="J18" s="277">
        <f>ROUND(VLOOKUP($E18,'BDEW-Standard'!$B$3:$M$94,J$9,0),7)</f>
        <v>7.6083226000000002</v>
      </c>
      <c r="K18" s="277">
        <f>ROUND(VLOOKUP($E18,'BDEW-Standard'!$B$3:$M$94,K$9,0),7)</f>
        <v>7.4685000000000001E-2</v>
      </c>
      <c r="L18" s="278">
        <f>ROUND(VLOOKUP($E18,'BDEW-Standard'!$B$3:$M$94,L$9,0),1)</f>
        <v>40</v>
      </c>
      <c r="M18" s="277">
        <f>ROUND(VLOOKUP($E18,'BDEW-Standard'!$B$3:$M$94,M$9,0),7)</f>
        <v>0</v>
      </c>
      <c r="N18" s="277">
        <f>ROUND(VLOOKUP($E18,'BDEW-Standard'!$B$3:$M$94,N$9,0),7)</f>
        <v>0</v>
      </c>
      <c r="O18" s="277">
        <f>ROUND(VLOOKUP($E18,'BDEW-Standard'!$B$3:$M$94,O$9,0),7)</f>
        <v>0</v>
      </c>
      <c r="P18" s="277">
        <f>ROUND(VLOOKUP($E18,'BDEW-Standard'!$B$3:$M$94,P$9,0),7)</f>
        <v>0</v>
      </c>
      <c r="Q18" s="279">
        <f t="shared" si="1"/>
        <v>0.97768382110526542</v>
      </c>
      <c r="R18" s="280">
        <f>ROUND(VLOOKUP(MID($E18,4,3),'Wochentag F(WT)'!$B$7:$J$22,R$9,0),4)</f>
        <v>1.0354000000000001</v>
      </c>
      <c r="S18" s="280">
        <f>ROUND(VLOOKUP(MID($E18,4,3),'Wochentag F(WT)'!$B$7:$J$22,S$9,0),4)</f>
        <v>1.0523</v>
      </c>
      <c r="T18" s="280">
        <f>ROUND(VLOOKUP(MID($E18,4,3),'Wochentag F(WT)'!$B$7:$J$22,T$9,0),4)</f>
        <v>1.0448999999999999</v>
      </c>
      <c r="U18" s="280">
        <f>ROUND(VLOOKUP(MID($E18,4,3),'Wochentag F(WT)'!$B$7:$J$22,U$9,0),4)</f>
        <v>1.0494000000000001</v>
      </c>
      <c r="V18" s="280">
        <f>ROUND(VLOOKUP(MID($E18,4,3),'Wochentag F(WT)'!$B$7:$J$22,V$9,0),4)</f>
        <v>0.98850000000000005</v>
      </c>
      <c r="W18" s="280">
        <f>ROUND(VLOOKUP(MID($E18,4,3),'Wochentag F(WT)'!$B$7:$J$22,W$9,0),4)</f>
        <v>0.88600000000000001</v>
      </c>
      <c r="X18" s="281">
        <f t="shared" si="2"/>
        <v>0.94349999999999934</v>
      </c>
      <c r="Y18" s="302"/>
      <c r="Z18" s="211"/>
    </row>
    <row r="19" spans="2:26" s="142" customFormat="1">
      <c r="B19" s="143">
        <v>8</v>
      </c>
      <c r="C19" s="144" t="str">
        <f t="shared" si="0"/>
        <v>e-regio</v>
      </c>
      <c r="D19" s="61" t="s">
        <v>248</v>
      </c>
      <c r="E19" s="165" t="s">
        <v>674</v>
      </c>
      <c r="F19" s="306" t="str">
        <f>VLOOKUP($E19,'BDEW-Standard'!$B$3:$M$94,F$9,0)</f>
        <v>MF4</v>
      </c>
      <c r="H19" s="277">
        <f>ROUND(VLOOKUP($E19,'BDEW-Standard'!$B$3:$M$94,H$9,0),7)</f>
        <v>2.5187775000000001</v>
      </c>
      <c r="I19" s="277">
        <f>ROUND(VLOOKUP($E19,'BDEW-Standard'!$B$3:$M$94,I$9,0),7)</f>
        <v>-35.033375399999997</v>
      </c>
      <c r="J19" s="277">
        <f>ROUND(VLOOKUP($E19,'BDEW-Standard'!$B$3:$M$94,J$9,0),7)</f>
        <v>6.2240634000000004</v>
      </c>
      <c r="K19" s="277">
        <f>ROUND(VLOOKUP($E19,'BDEW-Standard'!$B$3:$M$94,K$9,0),7)</f>
        <v>0.10107820000000001</v>
      </c>
      <c r="L19" s="278">
        <f>ROUND(VLOOKUP($E19,'BDEW-Standard'!$B$3:$M$94,L$9,0),1)</f>
        <v>40</v>
      </c>
      <c r="M19" s="277">
        <f>ROUND(VLOOKUP($E19,'BDEW-Standard'!$B$3:$M$94,M$9,0),7)</f>
        <v>0</v>
      </c>
      <c r="N19" s="277">
        <f>ROUND(VLOOKUP($E19,'BDEW-Standard'!$B$3:$M$94,N$9,0),7)</f>
        <v>0</v>
      </c>
      <c r="O19" s="277">
        <f>ROUND(VLOOKUP($E19,'BDEW-Standard'!$B$3:$M$94,O$9,0),7)</f>
        <v>0</v>
      </c>
      <c r="P19" s="277">
        <f>ROUND(VLOOKUP($E19,'BDEW-Standard'!$B$3:$M$94,P$9,0),7)</f>
        <v>0</v>
      </c>
      <c r="Q19" s="279">
        <f t="shared" si="1"/>
        <v>1.0146273685996503</v>
      </c>
      <c r="R19" s="280">
        <f>ROUND(VLOOKUP(MID($E19,4,3),'Wochentag F(WT)'!$B$7:$J$22,R$9,0),4)</f>
        <v>1.0354000000000001</v>
      </c>
      <c r="S19" s="280">
        <f>ROUND(VLOOKUP(MID($E19,4,3),'Wochentag F(WT)'!$B$7:$J$22,S$9,0),4)</f>
        <v>1.0523</v>
      </c>
      <c r="T19" s="280">
        <f>ROUND(VLOOKUP(MID($E19,4,3),'Wochentag F(WT)'!$B$7:$J$22,T$9,0),4)</f>
        <v>1.0448999999999999</v>
      </c>
      <c r="U19" s="280">
        <f>ROUND(VLOOKUP(MID($E19,4,3),'Wochentag F(WT)'!$B$7:$J$22,U$9,0),4)</f>
        <v>1.0494000000000001</v>
      </c>
      <c r="V19" s="280">
        <f>ROUND(VLOOKUP(MID($E19,4,3),'Wochentag F(WT)'!$B$7:$J$22,V$9,0),4)</f>
        <v>0.98850000000000005</v>
      </c>
      <c r="W19" s="280">
        <f>ROUND(VLOOKUP(MID($E19,4,3),'Wochentag F(WT)'!$B$7:$J$22,W$9,0),4)</f>
        <v>0.88600000000000001</v>
      </c>
      <c r="X19" s="281">
        <f t="shared" si="2"/>
        <v>0.94349999999999934</v>
      </c>
      <c r="Y19" s="302"/>
      <c r="Z19" s="211"/>
    </row>
    <row r="20" spans="2:26" s="142" customFormat="1">
      <c r="B20" s="143">
        <v>9</v>
      </c>
      <c r="C20" s="144" t="str">
        <f t="shared" si="0"/>
        <v>e-regio</v>
      </c>
      <c r="D20" s="61" t="s">
        <v>248</v>
      </c>
      <c r="E20" s="165" t="s">
        <v>675</v>
      </c>
      <c r="F20" s="306" t="str">
        <f>VLOOKUP($E20,'BDEW-Standard'!$B$3:$M$94,F$9,0)</f>
        <v>MK4</v>
      </c>
      <c r="H20" s="277">
        <f>ROUND(VLOOKUP($E20,'BDEW-Standard'!$B$3:$M$94,H$9,0),7)</f>
        <v>3.1177248</v>
      </c>
      <c r="I20" s="277">
        <f>ROUND(VLOOKUP($E20,'BDEW-Standard'!$B$3:$M$94,I$9,0),7)</f>
        <v>-35.871506199999999</v>
      </c>
      <c r="J20" s="277">
        <f>ROUND(VLOOKUP($E20,'BDEW-Standard'!$B$3:$M$94,J$9,0),7)</f>
        <v>7.5186828999999999</v>
      </c>
      <c r="K20" s="277">
        <f>ROUND(VLOOKUP($E20,'BDEW-Standard'!$B$3:$M$94,K$9,0),7)</f>
        <v>3.4330100000000002E-2</v>
      </c>
      <c r="L20" s="278">
        <f>ROUND(VLOOKUP($E20,'BDEW-Standard'!$B$3:$M$94,L$9,0),1)</f>
        <v>40</v>
      </c>
      <c r="M20" s="277">
        <f>ROUND(VLOOKUP($E20,'BDEW-Standard'!$B$3:$M$94,M$9,0),7)</f>
        <v>0</v>
      </c>
      <c r="N20" s="277">
        <f>ROUND(VLOOKUP($E20,'BDEW-Standard'!$B$3:$M$94,N$9,0),7)</f>
        <v>0</v>
      </c>
      <c r="O20" s="277">
        <f>ROUND(VLOOKUP($E20,'BDEW-Standard'!$B$3:$M$94,O$9,0),7)</f>
        <v>0</v>
      </c>
      <c r="P20" s="277">
        <f>ROUND(VLOOKUP($E20,'BDEW-Standard'!$B$3:$M$94,P$9,0),7)</f>
        <v>0</v>
      </c>
      <c r="Q20" s="279">
        <f t="shared" si="1"/>
        <v>0.9622064996731321</v>
      </c>
      <c r="R20" s="280">
        <f>ROUND(VLOOKUP(MID($E20,4,3),'Wochentag F(WT)'!$B$7:$J$22,R$9,0),4)</f>
        <v>1.0699000000000001</v>
      </c>
      <c r="S20" s="280">
        <f>ROUND(VLOOKUP(MID($E20,4,3),'Wochentag F(WT)'!$B$7:$J$22,S$9,0),4)</f>
        <v>1.0365</v>
      </c>
      <c r="T20" s="280">
        <f>ROUND(VLOOKUP(MID($E20,4,3),'Wochentag F(WT)'!$B$7:$J$22,T$9,0),4)</f>
        <v>0.99329999999999996</v>
      </c>
      <c r="U20" s="280">
        <f>ROUND(VLOOKUP(MID($E20,4,3),'Wochentag F(WT)'!$B$7:$J$22,U$9,0),4)</f>
        <v>0.99480000000000002</v>
      </c>
      <c r="V20" s="280">
        <f>ROUND(VLOOKUP(MID($E20,4,3),'Wochentag F(WT)'!$B$7:$J$22,V$9,0),4)</f>
        <v>1.0659000000000001</v>
      </c>
      <c r="W20" s="280">
        <f>ROUND(VLOOKUP(MID($E20,4,3),'Wochentag F(WT)'!$B$7:$J$22,W$9,0),4)</f>
        <v>0.93620000000000003</v>
      </c>
      <c r="X20" s="281">
        <f t="shared" si="2"/>
        <v>0.90339999999999954</v>
      </c>
      <c r="Y20" s="302"/>
      <c r="Z20" s="211"/>
    </row>
    <row r="21" spans="2:26" s="142" customFormat="1">
      <c r="B21" s="143">
        <v>10</v>
      </c>
      <c r="C21" s="144" t="str">
        <f t="shared" si="0"/>
        <v>e-regio</v>
      </c>
      <c r="D21" s="61" t="s">
        <v>248</v>
      </c>
      <c r="E21" s="165" t="s">
        <v>676</v>
      </c>
      <c r="F21" s="306" t="str">
        <f>VLOOKUP($E21,'BDEW-Standard'!$B$3:$M$94,F$9,0)</f>
        <v>PD4</v>
      </c>
      <c r="H21" s="277">
        <f>ROUND(VLOOKUP($E21,'BDEW-Standard'!$B$3:$M$94,H$9,0),7)</f>
        <v>3.85</v>
      </c>
      <c r="I21" s="277">
        <f>ROUND(VLOOKUP($E21,'BDEW-Standard'!$B$3:$M$94,I$9,0),7)</f>
        <v>-37</v>
      </c>
      <c r="J21" s="277">
        <f>ROUND(VLOOKUP($E21,'BDEW-Standard'!$B$3:$M$94,J$9,0),7)</f>
        <v>10.2405021</v>
      </c>
      <c r="K21" s="277">
        <f>ROUND(VLOOKUP($E21,'BDEW-Standard'!$B$3:$M$94,K$9,0),7)</f>
        <v>4.6924300000000002E-2</v>
      </c>
      <c r="L21" s="278">
        <f>ROUND(VLOOKUP($E21,'BDEW-Standard'!$B$3:$M$94,L$9,0),1)</f>
        <v>40</v>
      </c>
      <c r="M21" s="277">
        <f>ROUND(VLOOKUP($E21,'BDEW-Standard'!$B$3:$M$94,M$9,0),7)</f>
        <v>0</v>
      </c>
      <c r="N21" s="277">
        <f>ROUND(VLOOKUP($E21,'BDEW-Standard'!$B$3:$M$94,N$9,0),7)</f>
        <v>0</v>
      </c>
      <c r="O21" s="277">
        <f>ROUND(VLOOKUP($E21,'BDEW-Standard'!$B$3:$M$94,O$9,0),7)</f>
        <v>0</v>
      </c>
      <c r="P21" s="277">
        <f>ROUND(VLOOKUP($E21,'BDEW-Standard'!$B$3:$M$94,P$9,0),7)</f>
        <v>0</v>
      </c>
      <c r="Q21" s="279">
        <f t="shared" si="1"/>
        <v>0.75691065279879233</v>
      </c>
      <c r="R21" s="280">
        <f>ROUND(VLOOKUP(MID($E21,4,3),'Wochentag F(WT)'!$B$7:$J$22,R$9,0),4)</f>
        <v>1.0214000000000001</v>
      </c>
      <c r="S21" s="280">
        <f>ROUND(VLOOKUP(MID($E21,4,3),'Wochentag F(WT)'!$B$7:$J$22,S$9,0),4)</f>
        <v>1.0866</v>
      </c>
      <c r="T21" s="280">
        <f>ROUND(VLOOKUP(MID($E21,4,3),'Wochentag F(WT)'!$B$7:$J$22,T$9,0),4)</f>
        <v>1.0720000000000001</v>
      </c>
      <c r="U21" s="280">
        <f>ROUND(VLOOKUP(MID($E21,4,3),'Wochentag F(WT)'!$B$7:$J$22,U$9,0),4)</f>
        <v>1.0557000000000001</v>
      </c>
      <c r="V21" s="280">
        <f>ROUND(VLOOKUP(MID($E21,4,3),'Wochentag F(WT)'!$B$7:$J$22,V$9,0),4)</f>
        <v>1.0117</v>
      </c>
      <c r="W21" s="280">
        <f>ROUND(VLOOKUP(MID($E21,4,3),'Wochentag F(WT)'!$B$7:$J$22,W$9,0),4)</f>
        <v>0.90010000000000001</v>
      </c>
      <c r="X21" s="281">
        <f t="shared" si="2"/>
        <v>0.85249999999999915</v>
      </c>
      <c r="Y21" s="302"/>
      <c r="Z21" s="211"/>
    </row>
    <row r="22" spans="2:26" s="142" customFormat="1">
      <c r="B22" s="143">
        <v>11</v>
      </c>
      <c r="C22" s="144" t="str">
        <f t="shared" si="0"/>
        <v>e-regio</v>
      </c>
      <c r="D22" s="61" t="s">
        <v>248</v>
      </c>
      <c r="E22" s="165" t="s">
        <v>677</v>
      </c>
      <c r="F22" s="306" t="str">
        <f>VLOOKUP($E22,'BDEW-Standard'!$B$3:$M$94,F$9,0)</f>
        <v>WA4</v>
      </c>
      <c r="H22" s="277">
        <f>ROUND(VLOOKUP($E22,'BDEW-Standard'!$B$3:$M$94,H$9,0),7)</f>
        <v>1.0535874999999999</v>
      </c>
      <c r="I22" s="277">
        <f>ROUND(VLOOKUP($E22,'BDEW-Standard'!$B$3:$M$94,I$9,0),7)</f>
        <v>-35.299999999999997</v>
      </c>
      <c r="J22" s="277">
        <f>ROUND(VLOOKUP($E22,'BDEW-Standard'!$B$3:$M$94,J$9,0),7)</f>
        <v>4.8662747</v>
      </c>
      <c r="K22" s="277">
        <f>ROUND(VLOOKUP($E22,'BDEW-Standard'!$B$3:$M$94,K$9,0),7)</f>
        <v>0.68110420000000005</v>
      </c>
      <c r="L22" s="278">
        <f>ROUND(VLOOKUP($E22,'BDEW-Standard'!$B$3:$M$94,L$9,0),1)</f>
        <v>40</v>
      </c>
      <c r="M22" s="277">
        <f>ROUND(VLOOKUP($E22,'BDEW-Standard'!$B$3:$M$94,M$9,0),7)</f>
        <v>0</v>
      </c>
      <c r="N22" s="277">
        <f>ROUND(VLOOKUP($E22,'BDEW-Standard'!$B$3:$M$94,N$9,0),7)</f>
        <v>0</v>
      </c>
      <c r="O22" s="277">
        <f>ROUND(VLOOKUP($E22,'BDEW-Standard'!$B$3:$M$94,O$9,0),7)</f>
        <v>0</v>
      </c>
      <c r="P22" s="277">
        <f>ROUND(VLOOKUP($E22,'BDEW-Standard'!$B$3:$M$94,P$9,0),7)</f>
        <v>0</v>
      </c>
      <c r="Q22" s="279">
        <f t="shared" si="1"/>
        <v>1.0844348950990992</v>
      </c>
      <c r="R22" s="280">
        <f>ROUND(VLOOKUP(MID($E22,4,3),'Wochentag F(WT)'!$B$7:$J$22,R$9,0),4)</f>
        <v>1.2457</v>
      </c>
      <c r="S22" s="280">
        <f>ROUND(VLOOKUP(MID($E22,4,3),'Wochentag F(WT)'!$B$7:$J$22,S$9,0),4)</f>
        <v>1.2615000000000001</v>
      </c>
      <c r="T22" s="280">
        <f>ROUND(VLOOKUP(MID($E22,4,3),'Wochentag F(WT)'!$B$7:$J$22,T$9,0),4)</f>
        <v>1.2706999999999999</v>
      </c>
      <c r="U22" s="280">
        <f>ROUND(VLOOKUP(MID($E22,4,3),'Wochentag F(WT)'!$B$7:$J$22,U$9,0),4)</f>
        <v>1.2430000000000001</v>
      </c>
      <c r="V22" s="280">
        <f>ROUND(VLOOKUP(MID($E22,4,3),'Wochentag F(WT)'!$B$7:$J$22,V$9,0),4)</f>
        <v>1.1275999999999999</v>
      </c>
      <c r="W22" s="280">
        <f>ROUND(VLOOKUP(MID($E22,4,3),'Wochentag F(WT)'!$B$7:$J$22,W$9,0),4)</f>
        <v>0.38769999999999999</v>
      </c>
      <c r="X22" s="281">
        <f t="shared" si="2"/>
        <v>0.46379999999999999</v>
      </c>
      <c r="Y22" s="302"/>
      <c r="Z22" s="211"/>
    </row>
    <row r="23" spans="2:26" s="142" customFormat="1">
      <c r="B23" s="143">
        <v>12</v>
      </c>
      <c r="C23" s="144" t="str">
        <f t="shared" si="0"/>
        <v>e-regio</v>
      </c>
      <c r="D23" s="61" t="s">
        <v>248</v>
      </c>
      <c r="E23" s="165" t="s">
        <v>678</v>
      </c>
      <c r="F23" s="306" t="str">
        <f>VLOOKUP($E23,'BDEW-Standard'!$B$3:$M$94,F$9,0)</f>
        <v>D14</v>
      </c>
      <c r="H23" s="277">
        <f>ROUND(VLOOKUP($E23,'BDEW-Standard'!$B$3:$M$94,H$9,0),7)</f>
        <v>3.1850190999999999</v>
      </c>
      <c r="I23" s="277">
        <f>ROUND(VLOOKUP($E23,'BDEW-Standard'!$B$3:$M$94,I$9,0),7)</f>
        <v>-37.412415500000002</v>
      </c>
      <c r="J23" s="277">
        <f>ROUND(VLOOKUP($E23,'BDEW-Standard'!$B$3:$M$94,J$9,0),7)</f>
        <v>6.1723179000000004</v>
      </c>
      <c r="K23" s="277">
        <f>ROUND(VLOOKUP($E23,'BDEW-Standard'!$B$3:$M$94,K$9,0),7)</f>
        <v>7.6109599999999999E-2</v>
      </c>
      <c r="L23" s="278">
        <f>ROUND(VLOOKUP($E23,'BDEW-Standard'!$B$3:$M$94,L$9,0),1)</f>
        <v>40</v>
      </c>
      <c r="M23" s="277">
        <f>ROUND(VLOOKUP($E23,'BDEW-Standard'!$B$3:$M$94,M$9,0),7)</f>
        <v>0</v>
      </c>
      <c r="N23" s="277">
        <f>ROUND(VLOOKUP($E23,'BDEW-Standard'!$B$3:$M$94,N$9,0),7)</f>
        <v>0</v>
      </c>
      <c r="O23" s="277">
        <f>ROUND(VLOOKUP($E23,'BDEW-Standard'!$B$3:$M$94,O$9,0),7)</f>
        <v>0</v>
      </c>
      <c r="P23" s="277">
        <f>ROUND(VLOOKUP($E23,'BDEW-Standard'!$B$3:$M$94,P$9,0),7)</f>
        <v>0</v>
      </c>
      <c r="Q23" s="279">
        <f t="shared" si="1"/>
        <v>0.95508749343949439</v>
      </c>
      <c r="R23" s="280">
        <f>ROUND(VLOOKUP(MID($E23,4,3),'Wochentag F(WT)'!$B$7:$J$22,R$9,0),4)</f>
        <v>1</v>
      </c>
      <c r="S23" s="280">
        <f>ROUND(VLOOKUP(MID($E23,4,3),'Wochentag F(WT)'!$B$7:$J$22,S$9,0),4)</f>
        <v>1</v>
      </c>
      <c r="T23" s="280">
        <f>ROUND(VLOOKUP(MID($E23,4,3),'Wochentag F(WT)'!$B$7:$J$22,T$9,0),4)</f>
        <v>1</v>
      </c>
      <c r="U23" s="280">
        <f>ROUND(VLOOKUP(MID($E23,4,3),'Wochentag F(WT)'!$B$7:$J$22,U$9,0),4)</f>
        <v>1</v>
      </c>
      <c r="V23" s="280">
        <f>ROUND(VLOOKUP(MID($E23,4,3),'Wochentag F(WT)'!$B$7:$J$22,V$9,0),4)</f>
        <v>1</v>
      </c>
      <c r="W23" s="280">
        <f>ROUND(VLOOKUP(MID($E23,4,3),'Wochentag F(WT)'!$B$7:$J$22,W$9,0),4)</f>
        <v>1</v>
      </c>
      <c r="X23" s="281">
        <f t="shared" si="2"/>
        <v>1</v>
      </c>
      <c r="Y23" s="302"/>
      <c r="Z23" s="211"/>
    </row>
    <row r="24" spans="2:26" s="142" customFormat="1">
      <c r="B24" s="143">
        <v>13</v>
      </c>
      <c r="C24" s="144" t="str">
        <f t="shared" si="0"/>
        <v>e-regio</v>
      </c>
      <c r="D24" s="61" t="s">
        <v>248</v>
      </c>
      <c r="E24" s="165" t="s">
        <v>4</v>
      </c>
      <c r="F24" s="306" t="str">
        <f>VLOOKUP($E24,'BDEW-Standard'!$B$3:$M$94,F$9,0)</f>
        <v>HK3</v>
      </c>
      <c r="H24" s="277">
        <f>ROUND(VLOOKUP($E24,'BDEW-Standard'!$B$3:$M$94,H$9,0),7)</f>
        <v>0.40409319999999999</v>
      </c>
      <c r="I24" s="277">
        <f>ROUND(VLOOKUP($E24,'BDEW-Standard'!$B$3:$M$94,I$9,0),7)</f>
        <v>-24.439296800000001</v>
      </c>
      <c r="J24" s="277">
        <f>ROUND(VLOOKUP($E24,'BDEW-Standard'!$B$3:$M$94,J$9,0),7)</f>
        <v>6.5718174999999999</v>
      </c>
      <c r="K24" s="277">
        <f>ROUND(VLOOKUP($E24,'BDEW-Standard'!$B$3:$M$94,K$9,0),7)</f>
        <v>0.71077100000000004</v>
      </c>
      <c r="L24" s="278">
        <f>ROUND(VLOOKUP($E24,'BDEW-Standard'!$B$3:$M$94,L$9,0),1)</f>
        <v>40</v>
      </c>
      <c r="M24" s="277">
        <f>ROUND(VLOOKUP($E24,'BDEW-Standard'!$B$3:$M$94,M$9,0),7)</f>
        <v>0</v>
      </c>
      <c r="N24" s="277">
        <f>ROUND(VLOOKUP($E24,'BDEW-Standard'!$B$3:$M$94,N$9,0),7)</f>
        <v>0</v>
      </c>
      <c r="O24" s="277">
        <f>ROUND(VLOOKUP($E24,'BDEW-Standard'!$B$3:$M$94,O$9,0),7)</f>
        <v>0</v>
      </c>
      <c r="P24" s="277">
        <f>ROUND(VLOOKUP($E24,'BDEW-Standard'!$B$3:$M$94,P$9,0),7)</f>
        <v>0</v>
      </c>
      <c r="Q24" s="279">
        <f t="shared" si="1"/>
        <v>1.0561214000512988</v>
      </c>
      <c r="R24" s="280">
        <f>ROUND(VLOOKUP(MID($E24,4,3),'Wochentag F(WT)'!$B$7:$J$22,R$9,0),4)</f>
        <v>1</v>
      </c>
      <c r="S24" s="280">
        <f>ROUND(VLOOKUP(MID($E24,4,3),'Wochentag F(WT)'!$B$7:$J$22,S$9,0),4)</f>
        <v>1</v>
      </c>
      <c r="T24" s="280">
        <f>ROUND(VLOOKUP(MID($E24,4,3),'Wochentag F(WT)'!$B$7:$J$22,T$9,0),4)</f>
        <v>1</v>
      </c>
      <c r="U24" s="280">
        <f>ROUND(VLOOKUP(MID($E24,4,3),'Wochentag F(WT)'!$B$7:$J$22,U$9,0),4)</f>
        <v>1</v>
      </c>
      <c r="V24" s="280">
        <f>ROUND(VLOOKUP(MID($E24,4,3),'Wochentag F(WT)'!$B$7:$J$22,V$9,0),4)</f>
        <v>1</v>
      </c>
      <c r="W24" s="280">
        <f>ROUND(VLOOKUP(MID($E24,4,3),'Wochentag F(WT)'!$B$7:$J$22,W$9,0),4)</f>
        <v>1</v>
      </c>
      <c r="X24" s="281">
        <f t="shared" si="2"/>
        <v>1</v>
      </c>
      <c r="Y24" s="302"/>
      <c r="Z24" s="211"/>
    </row>
    <row r="25" spans="2:26" s="142" customFormat="1">
      <c r="B25" s="143">
        <v>14</v>
      </c>
      <c r="C25" s="144" t="str">
        <f t="shared" si="0"/>
        <v>e-regio</v>
      </c>
      <c r="D25" s="61" t="s">
        <v>248</v>
      </c>
      <c r="E25" s="165" t="s">
        <v>679</v>
      </c>
      <c r="F25" s="306" t="str">
        <f>VLOOKUP($E25,'BDEW-Standard'!$B$3:$M$94,F$9,0)</f>
        <v>D24</v>
      </c>
      <c r="H25" s="277">
        <f>ROUND(VLOOKUP($E25,'BDEW-Standard'!$B$3:$M$94,H$9,0),7)</f>
        <v>2.5187775000000001</v>
      </c>
      <c r="I25" s="277">
        <f>ROUND(VLOOKUP($E25,'BDEW-Standard'!$B$3:$M$94,I$9,0),7)</f>
        <v>-35.033375399999997</v>
      </c>
      <c r="J25" s="277">
        <f>ROUND(VLOOKUP($E25,'BDEW-Standard'!$B$3:$M$94,J$9,0),7)</f>
        <v>6.2240634000000004</v>
      </c>
      <c r="K25" s="277">
        <f>ROUND(VLOOKUP($E25,'BDEW-Standard'!$B$3:$M$94,K$9,0),7)</f>
        <v>0.10107820000000001</v>
      </c>
      <c r="L25" s="278">
        <f>ROUND(VLOOKUP($E25,'BDEW-Standard'!$B$3:$M$94,L$9,0),1)</f>
        <v>40</v>
      </c>
      <c r="M25" s="277">
        <f>ROUND(VLOOKUP($E25,'BDEW-Standard'!$B$3:$M$94,M$9,0),7)</f>
        <v>0</v>
      </c>
      <c r="N25" s="277">
        <f>ROUND(VLOOKUP($E25,'BDEW-Standard'!$B$3:$M$94,N$9,0),7)</f>
        <v>0</v>
      </c>
      <c r="O25" s="277">
        <f>ROUND(VLOOKUP($E25,'BDEW-Standard'!$B$3:$M$94,O$9,0),7)</f>
        <v>0</v>
      </c>
      <c r="P25" s="277">
        <f>ROUND(VLOOKUP($E25,'BDEW-Standard'!$B$3:$M$94,P$9,0),7)</f>
        <v>0</v>
      </c>
      <c r="Q25" s="279">
        <f t="shared" si="1"/>
        <v>1.0146273685996503</v>
      </c>
      <c r="R25" s="280">
        <f>ROUND(VLOOKUP(MID($E25,4,3),'Wochentag F(WT)'!$B$7:$J$22,R$9,0),4)</f>
        <v>1</v>
      </c>
      <c r="S25" s="280">
        <f>ROUND(VLOOKUP(MID($E25,4,3),'Wochentag F(WT)'!$B$7:$J$22,S$9,0),4)</f>
        <v>1</v>
      </c>
      <c r="T25" s="280">
        <f>ROUND(VLOOKUP(MID($E25,4,3),'Wochentag F(WT)'!$B$7:$J$22,T$9,0),4)</f>
        <v>1</v>
      </c>
      <c r="U25" s="280">
        <f>ROUND(VLOOKUP(MID($E25,4,3),'Wochentag F(WT)'!$B$7:$J$22,U$9,0),4)</f>
        <v>1</v>
      </c>
      <c r="V25" s="280">
        <f>ROUND(VLOOKUP(MID($E25,4,3),'Wochentag F(WT)'!$B$7:$J$22,V$9,0),4)</f>
        <v>1</v>
      </c>
      <c r="W25" s="280">
        <f>ROUND(VLOOKUP(MID($E25,4,3),'Wochentag F(WT)'!$B$7:$J$22,W$9,0),4)</f>
        <v>1</v>
      </c>
      <c r="X25" s="281">
        <f t="shared" si="2"/>
        <v>1</v>
      </c>
      <c r="Y25" s="302"/>
      <c r="Z25" s="211"/>
    </row>
    <row r="26" spans="2:26" s="142" customFormat="1">
      <c r="B26" s="143">
        <v>15</v>
      </c>
      <c r="C26" s="144" t="str">
        <f t="shared" si="0"/>
        <v>e-regio</v>
      </c>
      <c r="D26" s="61"/>
      <c r="E26" s="164"/>
      <c r="F26" s="306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2"/>
      <c r="Z26" s="211"/>
    </row>
    <row r="27" spans="2:26" s="142" customFormat="1">
      <c r="B27" s="143">
        <v>16</v>
      </c>
      <c r="C27" s="144" t="str">
        <f t="shared" si="0"/>
        <v>e-regio</v>
      </c>
      <c r="D27" s="61"/>
      <c r="E27" s="165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2" customFormat="1">
      <c r="B28" s="143">
        <v>17</v>
      </c>
      <c r="C28" s="144" t="str">
        <f t="shared" si="0"/>
        <v>e-regio</v>
      </c>
      <c r="D28" s="61"/>
      <c r="E28" s="165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2" customFormat="1">
      <c r="B29" s="143">
        <v>18</v>
      </c>
      <c r="C29" s="144" t="str">
        <f t="shared" si="0"/>
        <v>e-regio</v>
      </c>
      <c r="D29" s="61"/>
      <c r="E29" s="165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2" customFormat="1">
      <c r="B30" s="143">
        <v>19</v>
      </c>
      <c r="C30" s="144" t="str">
        <f t="shared" si="0"/>
        <v>e-regio</v>
      </c>
      <c r="D30" s="61"/>
      <c r="E30" s="165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2" customFormat="1">
      <c r="B31" s="143">
        <v>20</v>
      </c>
      <c r="C31" s="144" t="str">
        <f t="shared" si="0"/>
        <v>e-regio</v>
      </c>
      <c r="D31" s="61"/>
      <c r="E31" s="165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2" customFormat="1">
      <c r="B32" s="143">
        <v>21</v>
      </c>
      <c r="C32" s="144" t="str">
        <f t="shared" si="0"/>
        <v>e-regio</v>
      </c>
      <c r="D32" s="61"/>
      <c r="E32" s="165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2" customFormat="1">
      <c r="B33" s="143">
        <v>22</v>
      </c>
      <c r="C33" s="144" t="str">
        <f t="shared" si="0"/>
        <v>e-regio</v>
      </c>
      <c r="D33" s="61"/>
      <c r="E33" s="165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2" customFormat="1">
      <c r="B34" s="143">
        <v>23</v>
      </c>
      <c r="C34" s="144" t="str">
        <f t="shared" si="0"/>
        <v>e-regio</v>
      </c>
      <c r="D34" s="61"/>
      <c r="E34" s="165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2" customFormat="1">
      <c r="B35" s="143">
        <v>24</v>
      </c>
      <c r="C35" s="144" t="str">
        <f t="shared" si="0"/>
        <v>e-regio</v>
      </c>
      <c r="D35" s="61"/>
      <c r="E35" s="165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2" customFormat="1">
      <c r="B36" s="143">
        <v>25</v>
      </c>
      <c r="C36" s="144" t="str">
        <f t="shared" si="0"/>
        <v>e-regio</v>
      </c>
      <c r="D36" s="61"/>
      <c r="E36" s="165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2" customFormat="1">
      <c r="B37" s="143">
        <v>26</v>
      </c>
      <c r="C37" s="144" t="str">
        <f t="shared" si="0"/>
        <v>e-regio</v>
      </c>
      <c r="D37" s="61"/>
      <c r="E37" s="165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2" customFormat="1">
      <c r="B38" s="143">
        <v>27</v>
      </c>
      <c r="C38" s="144" t="str">
        <f t="shared" si="0"/>
        <v>e-regio</v>
      </c>
      <c r="D38" s="61"/>
      <c r="E38" s="165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2" customFormat="1">
      <c r="B39" s="143">
        <v>28</v>
      </c>
      <c r="C39" s="144" t="str">
        <f t="shared" si="0"/>
        <v>e-regio</v>
      </c>
      <c r="D39" s="61"/>
      <c r="E39" s="165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2" customFormat="1">
      <c r="B40" s="143">
        <v>29</v>
      </c>
      <c r="C40" s="144" t="str">
        <f t="shared" si="0"/>
        <v>e-regio</v>
      </c>
      <c r="D40" s="61"/>
      <c r="E40" s="165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2" customFormat="1">
      <c r="B41" s="143">
        <v>30</v>
      </c>
      <c r="C41" s="144" t="str">
        <f t="shared" si="0"/>
        <v>e-regio</v>
      </c>
      <c r="D41" s="61"/>
      <c r="E41" s="165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1" priority="10">
      <formula>ISERROR(F11)</formula>
    </cfRule>
  </conditionalFormatting>
  <conditionalFormatting sqref="E26:F41 Y12:Y41 F12:F25">
    <cfRule type="duplicateValues" dxfId="10" priority="32"/>
  </conditionalFormatting>
  <conditionalFormatting sqref="E12:E25">
    <cfRule type="duplicateValues" dxfId="9" priority="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E26:E41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E26</xm:sqref>
        </x14:dataValidation>
        <x14:dataValidation type="list" allowBlank="1" showInputMessage="1" showErrorMessage="1" xr:uid="{7EFD543E-8C72-4196-8BFC-DB2F7E98BFA0}">
          <x14:formula1>
            <xm:f>'[22-04-01_SLP_Gas_Verfahrensspezifische_Parameter_e-regio_HGas.xlsx]BDEW-Standard'!#REF!</xm:f>
          </x14:formula1>
          <xm:sqref>E12:E25</xm:sqref>
        </x14:dataValidation>
        <x14:dataValidation type="list" errorStyle="information" allowBlank="1" showInputMessage="1" showErrorMessage="1" errorTitle="Achtung!" error="keine BDEW Nomenklatur" xr:uid="{21FF0FA1-E0CF-4A25-A77D-F5A64AFC2C76}">
          <x14:formula1>
            <xm:f>'[22-04-01_SLP_Gas_Verfahrensspezifische_Parameter_e-regio_HGas.xlsx]BDEW-Standard'!#REF!</xm:f>
          </x14:formula1>
          <xm:sqref>E12:E25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4" t="s">
        <v>344</v>
      </c>
      <c r="B1" s="215">
        <v>42173</v>
      </c>
      <c r="D1" s="130" t="s">
        <v>451</v>
      </c>
      <c r="F1" s="216" t="s">
        <v>545</v>
      </c>
      <c r="N1" s="217"/>
    </row>
    <row r="2" spans="1:14" ht="25.5">
      <c r="A2" s="218" t="s">
        <v>268</v>
      </c>
      <c r="B2" s="219" t="s">
        <v>146</v>
      </c>
      <c r="C2" s="220" t="s">
        <v>148</v>
      </c>
      <c r="D2" s="221" t="s">
        <v>149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70</v>
      </c>
      <c r="J2" s="222" t="s">
        <v>150</v>
      </c>
      <c r="K2" s="222" t="s">
        <v>151</v>
      </c>
      <c r="L2" s="222" t="s">
        <v>152</v>
      </c>
      <c r="M2" s="224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7" t="s">
        <v>245</v>
      </c>
      <c r="B95" s="127" t="s">
        <v>50</v>
      </c>
      <c r="C95" s="127" t="s">
        <v>314</v>
      </c>
      <c r="D95" s="234" t="s">
        <v>269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7" t="s">
        <v>245</v>
      </c>
      <c r="B96" s="127" t="s">
        <v>55</v>
      </c>
      <c r="C96" s="127" t="s">
        <v>319</v>
      </c>
      <c r="D96" s="234" t="s">
        <v>269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7" t="s">
        <v>245</v>
      </c>
      <c r="B97" s="127" t="s">
        <v>60</v>
      </c>
      <c r="C97" s="127" t="s">
        <v>324</v>
      </c>
      <c r="D97" s="234" t="s">
        <v>269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7" t="s">
        <v>245</v>
      </c>
      <c r="B98" s="127" t="s">
        <v>65</v>
      </c>
      <c r="C98" s="127" t="s">
        <v>329</v>
      </c>
      <c r="D98" s="234" t="s">
        <v>269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7" t="s">
        <v>245</v>
      </c>
      <c r="B99" s="127" t="s">
        <v>18</v>
      </c>
      <c r="C99" s="127" t="s">
        <v>282</v>
      </c>
      <c r="D99" s="234" t="s">
        <v>269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7" t="s">
        <v>245</v>
      </c>
      <c r="B100" s="127" t="s">
        <v>22</v>
      </c>
      <c r="C100" s="127" t="s">
        <v>286</v>
      </c>
      <c r="D100" s="234" t="s">
        <v>269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7" t="s">
        <v>245</v>
      </c>
      <c r="B101" s="127" t="s">
        <v>26</v>
      </c>
      <c r="C101" s="127" t="s">
        <v>290</v>
      </c>
      <c r="D101" s="234" t="s">
        <v>269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7" t="s">
        <v>245</v>
      </c>
      <c r="B102" s="127" t="s">
        <v>30</v>
      </c>
      <c r="C102" s="127" t="s">
        <v>294</v>
      </c>
      <c r="D102" s="234" t="s">
        <v>269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7" t="s">
        <v>245</v>
      </c>
      <c r="B103" s="127" t="s">
        <v>34</v>
      </c>
      <c r="C103" s="127" t="s">
        <v>298</v>
      </c>
      <c r="D103" s="234" t="s">
        <v>269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7" t="s">
        <v>245</v>
      </c>
      <c r="B104" s="127" t="s">
        <v>38</v>
      </c>
      <c r="C104" s="127" t="s">
        <v>302</v>
      </c>
      <c r="D104" s="234" t="s">
        <v>269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7" t="s">
        <v>245</v>
      </c>
      <c r="B105" s="127" t="s">
        <v>42</v>
      </c>
      <c r="C105" s="127" t="s">
        <v>306</v>
      </c>
      <c r="D105" s="234" t="s">
        <v>269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7" t="s">
        <v>245</v>
      </c>
      <c r="B106" s="127" t="s">
        <v>46</v>
      </c>
      <c r="C106" s="127" t="s">
        <v>310</v>
      </c>
      <c r="D106" s="234" t="s">
        <v>269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7" t="s">
        <v>245</v>
      </c>
      <c r="B107" s="127" t="s">
        <v>51</v>
      </c>
      <c r="C107" s="127" t="s">
        <v>315</v>
      </c>
      <c r="D107" s="234" t="s">
        <v>269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7" t="s">
        <v>245</v>
      </c>
      <c r="B108" s="127" t="s">
        <v>56</v>
      </c>
      <c r="C108" s="127" t="s">
        <v>320</v>
      </c>
      <c r="D108" s="234" t="s">
        <v>269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7" t="s">
        <v>245</v>
      </c>
      <c r="B109" s="127" t="s">
        <v>61</v>
      </c>
      <c r="C109" s="127" t="s">
        <v>325</v>
      </c>
      <c r="D109" s="234" t="s">
        <v>269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7" t="s">
        <v>245</v>
      </c>
      <c r="B110" s="127" t="s">
        <v>66</v>
      </c>
      <c r="C110" s="127" t="s">
        <v>330</v>
      </c>
      <c r="D110" s="234" t="s">
        <v>269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7" t="s">
        <v>245</v>
      </c>
      <c r="B111" s="127" t="s">
        <v>6</v>
      </c>
      <c r="C111" s="127" t="s">
        <v>270</v>
      </c>
      <c r="D111" s="234" t="s">
        <v>269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7" t="s">
        <v>245</v>
      </c>
      <c r="B112" s="127" t="s">
        <v>7</v>
      </c>
      <c r="C112" s="127" t="s">
        <v>271</v>
      </c>
      <c r="D112" s="234" t="s">
        <v>269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7" t="s">
        <v>245</v>
      </c>
      <c r="B113" s="127" t="s">
        <v>8</v>
      </c>
      <c r="C113" s="127" t="s">
        <v>272</v>
      </c>
      <c r="D113" s="234" t="s">
        <v>269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7" t="s">
        <v>245</v>
      </c>
      <c r="B114" s="127" t="s">
        <v>9</v>
      </c>
      <c r="C114" s="127" t="s">
        <v>273</v>
      </c>
      <c r="D114" s="234" t="s">
        <v>269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7" t="s">
        <v>245</v>
      </c>
      <c r="B115" s="127" t="s">
        <v>19</v>
      </c>
      <c r="C115" s="127" t="s">
        <v>283</v>
      </c>
      <c r="D115" s="234" t="s">
        <v>269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7" t="s">
        <v>245</v>
      </c>
      <c r="B116" s="127" t="s">
        <v>23</v>
      </c>
      <c r="C116" s="127" t="s">
        <v>287</v>
      </c>
      <c r="D116" s="234" t="s">
        <v>269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7" t="s">
        <v>245</v>
      </c>
      <c r="B117" s="127" t="s">
        <v>27</v>
      </c>
      <c r="C117" s="127" t="s">
        <v>291</v>
      </c>
      <c r="D117" s="234" t="s">
        <v>269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7" t="s">
        <v>245</v>
      </c>
      <c r="B118" s="127" t="s">
        <v>31</v>
      </c>
      <c r="C118" s="127" t="s">
        <v>295</v>
      </c>
      <c r="D118" s="234" t="s">
        <v>269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7" t="s">
        <v>245</v>
      </c>
      <c r="B119" s="127" t="s">
        <v>10</v>
      </c>
      <c r="C119" s="127" t="s">
        <v>274</v>
      </c>
      <c r="D119" s="234" t="s">
        <v>269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7" t="s">
        <v>245</v>
      </c>
      <c r="B120" s="127" t="s">
        <v>12</v>
      </c>
      <c r="C120" s="127" t="s">
        <v>276</v>
      </c>
      <c r="D120" s="234" t="s">
        <v>269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7" t="s">
        <v>245</v>
      </c>
      <c r="B121" s="127" t="s">
        <v>14</v>
      </c>
      <c r="C121" s="127" t="s">
        <v>278</v>
      </c>
      <c r="D121" s="234" t="s">
        <v>269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7" t="s">
        <v>245</v>
      </c>
      <c r="B122" s="127" t="s">
        <v>16</v>
      </c>
      <c r="C122" s="127" t="s">
        <v>280</v>
      </c>
      <c r="D122" s="234" t="s">
        <v>269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7" t="s">
        <v>245</v>
      </c>
      <c r="B123" s="127" t="s">
        <v>52</v>
      </c>
      <c r="C123" s="127" t="s">
        <v>316</v>
      </c>
      <c r="D123" s="234" t="s">
        <v>269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7" t="s">
        <v>245</v>
      </c>
      <c r="B124" s="127" t="s">
        <v>57</v>
      </c>
      <c r="C124" s="127" t="s">
        <v>321</v>
      </c>
      <c r="D124" s="234" t="s">
        <v>269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7" t="s">
        <v>245</v>
      </c>
      <c r="B125" s="127" t="s">
        <v>62</v>
      </c>
      <c r="C125" s="127" t="s">
        <v>326</v>
      </c>
      <c r="D125" s="234" t="s">
        <v>269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7" t="s">
        <v>245</v>
      </c>
      <c r="B126" s="127" t="s">
        <v>67</v>
      </c>
      <c r="C126" s="127" t="s">
        <v>331</v>
      </c>
      <c r="D126" s="234" t="s">
        <v>269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7" t="s">
        <v>245</v>
      </c>
      <c r="B127" s="127" t="s">
        <v>20</v>
      </c>
      <c r="C127" s="127" t="s">
        <v>284</v>
      </c>
      <c r="D127" s="234" t="s">
        <v>269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7" t="s">
        <v>245</v>
      </c>
      <c r="B128" s="127" t="s">
        <v>24</v>
      </c>
      <c r="C128" s="127" t="s">
        <v>288</v>
      </c>
      <c r="D128" s="234" t="s">
        <v>269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7" t="s">
        <v>245</v>
      </c>
      <c r="B129" s="127" t="s">
        <v>28</v>
      </c>
      <c r="C129" s="127" t="s">
        <v>292</v>
      </c>
      <c r="D129" s="234" t="s">
        <v>269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7" t="s">
        <v>245</v>
      </c>
      <c r="B130" s="127" t="s">
        <v>32</v>
      </c>
      <c r="C130" s="127" t="s">
        <v>296</v>
      </c>
      <c r="D130" s="234" t="s">
        <v>269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7" t="s">
        <v>245</v>
      </c>
      <c r="B131" s="127" t="s">
        <v>21</v>
      </c>
      <c r="C131" s="127" t="s">
        <v>285</v>
      </c>
      <c r="D131" s="234" t="s">
        <v>269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7" t="s">
        <v>245</v>
      </c>
      <c r="B132" s="127" t="s">
        <v>25</v>
      </c>
      <c r="C132" s="127" t="s">
        <v>289</v>
      </c>
      <c r="D132" s="234" t="s">
        <v>269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7" t="s">
        <v>245</v>
      </c>
      <c r="B133" s="127" t="s">
        <v>29</v>
      </c>
      <c r="C133" s="127" t="s">
        <v>293</v>
      </c>
      <c r="D133" s="234" t="s">
        <v>269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7" t="s">
        <v>245</v>
      </c>
      <c r="B134" s="127" t="s">
        <v>33</v>
      </c>
      <c r="C134" s="127" t="s">
        <v>297</v>
      </c>
      <c r="D134" s="234" t="s">
        <v>269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7" t="s">
        <v>245</v>
      </c>
      <c r="B135" s="127" t="s">
        <v>35</v>
      </c>
      <c r="C135" s="127" t="s">
        <v>299</v>
      </c>
      <c r="D135" s="234" t="s">
        <v>269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7" t="s">
        <v>245</v>
      </c>
      <c r="B136" s="127" t="s">
        <v>39</v>
      </c>
      <c r="C136" s="127" t="s">
        <v>303</v>
      </c>
      <c r="D136" s="234" t="s">
        <v>269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7" t="s">
        <v>245</v>
      </c>
      <c r="B137" s="127" t="s">
        <v>43</v>
      </c>
      <c r="C137" s="127" t="s">
        <v>307</v>
      </c>
      <c r="D137" s="234" t="s">
        <v>269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7" t="s">
        <v>245</v>
      </c>
      <c r="B138" s="127" t="s">
        <v>47</v>
      </c>
      <c r="C138" s="127" t="s">
        <v>311</v>
      </c>
      <c r="D138" s="234" t="s">
        <v>269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7" t="s">
        <v>245</v>
      </c>
      <c r="B139" s="127" t="s">
        <v>36</v>
      </c>
      <c r="C139" s="127" t="s">
        <v>300</v>
      </c>
      <c r="D139" s="234" t="s">
        <v>269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7" t="s">
        <v>245</v>
      </c>
      <c r="B140" s="127" t="s">
        <v>40</v>
      </c>
      <c r="C140" s="127" t="s">
        <v>304</v>
      </c>
      <c r="D140" s="234" t="s">
        <v>269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7" t="s">
        <v>245</v>
      </c>
      <c r="B141" s="127" t="s">
        <v>44</v>
      </c>
      <c r="C141" s="127" t="s">
        <v>308</v>
      </c>
      <c r="D141" s="234" t="s">
        <v>269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7" t="s">
        <v>245</v>
      </c>
      <c r="B142" s="127" t="s">
        <v>48</v>
      </c>
      <c r="C142" s="127" t="s">
        <v>312</v>
      </c>
      <c r="D142" s="234" t="s">
        <v>269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7" t="s">
        <v>245</v>
      </c>
      <c r="B143" s="127" t="s">
        <v>11</v>
      </c>
      <c r="C143" s="127" t="s">
        <v>275</v>
      </c>
      <c r="D143" s="234" t="s">
        <v>269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7" t="s">
        <v>245</v>
      </c>
      <c r="B144" s="127" t="s">
        <v>13</v>
      </c>
      <c r="C144" s="127" t="s">
        <v>277</v>
      </c>
      <c r="D144" s="234" t="s">
        <v>269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7" t="s">
        <v>245</v>
      </c>
      <c r="B145" s="127" t="s">
        <v>15</v>
      </c>
      <c r="C145" s="127" t="s">
        <v>279</v>
      </c>
      <c r="D145" s="234" t="s">
        <v>269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7" t="s">
        <v>245</v>
      </c>
      <c r="B146" s="127" t="s">
        <v>17</v>
      </c>
      <c r="C146" s="127" t="s">
        <v>281</v>
      </c>
      <c r="D146" s="234" t="s">
        <v>269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7" t="s">
        <v>245</v>
      </c>
      <c r="B147" s="127" t="s">
        <v>37</v>
      </c>
      <c r="C147" s="127" t="s">
        <v>301</v>
      </c>
      <c r="D147" s="234" t="s">
        <v>269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7" t="s">
        <v>245</v>
      </c>
      <c r="B148" s="127" t="s">
        <v>41</v>
      </c>
      <c r="C148" s="127" t="s">
        <v>305</v>
      </c>
      <c r="D148" s="234" t="s">
        <v>269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7" t="s">
        <v>245</v>
      </c>
      <c r="B149" s="127" t="s">
        <v>45</v>
      </c>
      <c r="C149" s="127" t="s">
        <v>309</v>
      </c>
      <c r="D149" s="234" t="s">
        <v>269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7" t="s">
        <v>245</v>
      </c>
      <c r="B150" s="127" t="s">
        <v>49</v>
      </c>
      <c r="C150" s="127" t="s">
        <v>313</v>
      </c>
      <c r="D150" s="234" t="s">
        <v>269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7" t="s">
        <v>245</v>
      </c>
      <c r="B151" s="127" t="s">
        <v>53</v>
      </c>
      <c r="C151" s="127" t="s">
        <v>317</v>
      </c>
      <c r="D151" s="234" t="s">
        <v>269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7" t="s">
        <v>245</v>
      </c>
      <c r="B152" s="127" t="s">
        <v>58</v>
      </c>
      <c r="C152" s="127" t="s">
        <v>322</v>
      </c>
      <c r="D152" s="234" t="s">
        <v>269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7" t="s">
        <v>245</v>
      </c>
      <c r="B153" s="127" t="s">
        <v>63</v>
      </c>
      <c r="C153" s="127" t="s">
        <v>327</v>
      </c>
      <c r="D153" s="234" t="s">
        <v>269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7" t="s">
        <v>245</v>
      </c>
      <c r="B154" s="127" t="s">
        <v>68</v>
      </c>
      <c r="C154" s="127" t="s">
        <v>332</v>
      </c>
      <c r="D154" s="234" t="s">
        <v>269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7" t="s">
        <v>245</v>
      </c>
      <c r="B155" s="127" t="s">
        <v>54</v>
      </c>
      <c r="C155" s="127" t="s">
        <v>318</v>
      </c>
      <c r="D155" s="234" t="s">
        <v>269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7" t="s">
        <v>245</v>
      </c>
      <c r="B156" s="127" t="s">
        <v>59</v>
      </c>
      <c r="C156" s="127" t="s">
        <v>323</v>
      </c>
      <c r="D156" s="234" t="s">
        <v>269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7" t="s">
        <v>245</v>
      </c>
      <c r="B157" s="127" t="s">
        <v>64</v>
      </c>
      <c r="C157" s="127" t="s">
        <v>328</v>
      </c>
      <c r="D157" s="234" t="s">
        <v>269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7" t="s">
        <v>245</v>
      </c>
      <c r="B158" s="127" t="s">
        <v>69</v>
      </c>
      <c r="C158" s="127" t="s">
        <v>333</v>
      </c>
      <c r="D158" s="234" t="s">
        <v>269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443</v>
      </c>
    </row>
    <row r="3" spans="2:30" ht="15" customHeight="1">
      <c r="B3" s="83"/>
    </row>
    <row r="4" spans="2:30" ht="15" customHeight="1">
      <c r="B4" s="84" t="s">
        <v>442</v>
      </c>
      <c r="C4" s="62" t="str">
        <f>Netzbetreiber!$D$9</f>
        <v>e-regio GmbH % Co. KG</v>
      </c>
      <c r="D4" s="75"/>
      <c r="G4" s="75"/>
      <c r="I4" s="75"/>
      <c r="J4" s="76"/>
      <c r="M4" s="85" t="s">
        <v>539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441</v>
      </c>
      <c r="C5" s="63" t="str">
        <f>Netzbetreiber!D28</f>
        <v>e-regio</v>
      </c>
      <c r="D5" s="37"/>
      <c r="E5" s="75"/>
      <c r="F5" s="75"/>
      <c r="G5" s="75"/>
      <c r="I5" s="75"/>
      <c r="J5" s="75"/>
      <c r="K5" s="75"/>
      <c r="L5" s="75"/>
      <c r="M5" s="87" t="s">
        <v>507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439</v>
      </c>
      <c r="C6" s="62">
        <f>Netzbetreiber!$D$11</f>
        <v>9870011300009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7">
        <f>Netzbetreiber!$D$6</f>
        <v>44652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60" t="s">
        <v>455</v>
      </c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2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464</v>
      </c>
      <c r="N9" s="90" t="s">
        <v>369</v>
      </c>
      <c r="O9" s="91" t="s">
        <v>370</v>
      </c>
      <c r="P9" s="91" t="s">
        <v>371</v>
      </c>
      <c r="Q9" s="91" t="s">
        <v>372</v>
      </c>
      <c r="R9" s="91" t="s">
        <v>373</v>
      </c>
      <c r="S9" s="91" t="s">
        <v>374</v>
      </c>
      <c r="T9" s="91" t="s">
        <v>375</v>
      </c>
      <c r="U9" s="91" t="s">
        <v>376</v>
      </c>
      <c r="V9" s="91" t="s">
        <v>377</v>
      </c>
      <c r="W9" s="91" t="s">
        <v>378</v>
      </c>
      <c r="X9" s="91" t="s">
        <v>379</v>
      </c>
      <c r="Y9" s="91" t="s">
        <v>380</v>
      </c>
      <c r="Z9" s="91" t="s">
        <v>381</v>
      </c>
      <c r="AA9" s="91" t="s">
        <v>382</v>
      </c>
      <c r="AB9" s="91" t="s">
        <v>383</v>
      </c>
      <c r="AC9" s="92" t="s">
        <v>384</v>
      </c>
      <c r="AD9" s="92" t="s">
        <v>426</v>
      </c>
    </row>
    <row r="10" spans="2:30" ht="72" customHeight="1" thickBot="1">
      <c r="B10" s="365" t="s">
        <v>583</v>
      </c>
      <c r="C10" s="366"/>
      <c r="D10" s="93">
        <v>2</v>
      </c>
      <c r="E10" s="94" t="str">
        <f>IF(ISERROR(HLOOKUP(E$11,$M$9:$AD$35,$D10,0)),"",HLOOKUP(E$11,$M$9:$AD$35,$D10,0))</f>
        <v/>
      </c>
      <c r="F10" s="363" t="s">
        <v>395</v>
      </c>
      <c r="G10" s="363"/>
      <c r="H10" s="363"/>
      <c r="I10" s="363"/>
      <c r="J10" s="363"/>
      <c r="K10" s="363"/>
      <c r="L10" s="364"/>
      <c r="M10" s="95" t="s">
        <v>465</v>
      </c>
      <c r="N10" s="96" t="s">
        <v>466</v>
      </c>
      <c r="O10" s="97" t="s">
        <v>467</v>
      </c>
      <c r="P10" s="98" t="s">
        <v>468</v>
      </c>
      <c r="Q10" s="98" t="s">
        <v>469</v>
      </c>
      <c r="R10" s="98" t="s">
        <v>470</v>
      </c>
      <c r="S10" s="98" t="s">
        <v>471</v>
      </c>
      <c r="T10" s="98" t="s">
        <v>472</v>
      </c>
      <c r="U10" s="98" t="s">
        <v>473</v>
      </c>
      <c r="V10" s="98" t="s">
        <v>474</v>
      </c>
      <c r="W10" s="98" t="s">
        <v>475</v>
      </c>
      <c r="X10" s="98" t="s">
        <v>476</v>
      </c>
      <c r="Y10" s="98" t="s">
        <v>477</v>
      </c>
      <c r="Z10" s="98" t="s">
        <v>478</v>
      </c>
      <c r="AA10" s="98" t="s">
        <v>479</v>
      </c>
      <c r="AB10" s="98" t="s">
        <v>480</v>
      </c>
      <c r="AC10" s="99" t="s">
        <v>481</v>
      </c>
      <c r="AD10" s="100" t="s">
        <v>427</v>
      </c>
    </row>
    <row r="11" spans="2:30" ht="15.75" thickBot="1">
      <c r="B11" s="101" t="s">
        <v>418</v>
      </c>
      <c r="C11" s="102"/>
      <c r="D11" s="103">
        <v>3</v>
      </c>
      <c r="E11" s="104"/>
      <c r="F11" s="105" t="s">
        <v>386</v>
      </c>
      <c r="G11" s="106" t="s">
        <v>387</v>
      </c>
      <c r="H11" s="106" t="s">
        <v>388</v>
      </c>
      <c r="I11" s="106" t="s">
        <v>389</v>
      </c>
      <c r="J11" s="106" t="s">
        <v>390</v>
      </c>
      <c r="K11" s="106" t="s">
        <v>391</v>
      </c>
      <c r="L11" s="107" t="s">
        <v>392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396</v>
      </c>
      <c r="C12" s="109"/>
      <c r="D12" s="110">
        <v>4</v>
      </c>
      <c r="E12" s="313">
        <f>MIN(SUMPRODUCT($M$11:$AD$11,M12:AD12),1)</f>
        <v>1</v>
      </c>
      <c r="F12" s="310" t="s">
        <v>392</v>
      </c>
      <c r="G12" s="77" t="s">
        <v>392</v>
      </c>
      <c r="H12" s="77" t="s">
        <v>392</v>
      </c>
      <c r="I12" s="77" t="s">
        <v>392</v>
      </c>
      <c r="J12" s="77" t="s">
        <v>392</v>
      </c>
      <c r="K12" s="77" t="s">
        <v>392</v>
      </c>
      <c r="L12" s="78" t="s">
        <v>392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397</v>
      </c>
      <c r="C13" s="116"/>
      <c r="D13" s="110">
        <v>5</v>
      </c>
      <c r="E13" s="314">
        <f t="shared" ref="E13:E35" si="0">MIN(SUMPRODUCT($M$11:$AD$11,M13:AD13),1)</f>
        <v>0</v>
      </c>
      <c r="F13" s="311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80" t="s">
        <v>392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398</v>
      </c>
      <c r="C14" s="116"/>
      <c r="D14" s="110">
        <v>6</v>
      </c>
      <c r="E14" s="314">
        <f t="shared" si="0"/>
        <v>0</v>
      </c>
      <c r="F14" s="311" t="s">
        <v>392</v>
      </c>
      <c r="G14" s="79" t="s">
        <v>399</v>
      </c>
      <c r="H14" s="79" t="s">
        <v>399</v>
      </c>
      <c r="I14" s="79" t="s">
        <v>399</v>
      </c>
      <c r="J14" s="79" t="s">
        <v>399</v>
      </c>
      <c r="K14" s="79" t="s">
        <v>399</v>
      </c>
      <c r="L14" s="80" t="s">
        <v>399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400</v>
      </c>
      <c r="C15" s="116"/>
      <c r="D15" s="110">
        <v>7</v>
      </c>
      <c r="E15" s="314">
        <f t="shared" si="0"/>
        <v>0</v>
      </c>
      <c r="F15" s="311" t="s">
        <v>399</v>
      </c>
      <c r="G15" s="79" t="s">
        <v>391</v>
      </c>
      <c r="H15" s="79" t="s">
        <v>399</v>
      </c>
      <c r="I15" s="79" t="s">
        <v>399</v>
      </c>
      <c r="J15" s="79" t="s">
        <v>399</v>
      </c>
      <c r="K15" s="79" t="s">
        <v>399</v>
      </c>
      <c r="L15" s="80" t="s">
        <v>399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412</v>
      </c>
      <c r="C16" s="116"/>
      <c r="D16" s="110">
        <v>8</v>
      </c>
      <c r="E16" s="314">
        <f t="shared" si="0"/>
        <v>1</v>
      </c>
      <c r="F16" s="311" t="s">
        <v>399</v>
      </c>
      <c r="G16" s="79" t="s">
        <v>399</v>
      </c>
      <c r="H16" s="79" t="s">
        <v>399</v>
      </c>
      <c r="I16" s="79" t="s">
        <v>399</v>
      </c>
      <c r="J16" s="79" t="s">
        <v>392</v>
      </c>
      <c r="K16" s="79" t="s">
        <v>399</v>
      </c>
      <c r="L16" s="80" t="s">
        <v>399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413</v>
      </c>
      <c r="C17" s="116"/>
      <c r="D17" s="110">
        <v>9</v>
      </c>
      <c r="E17" s="314">
        <f t="shared" si="0"/>
        <v>1</v>
      </c>
      <c r="F17" s="311" t="s">
        <v>399</v>
      </c>
      <c r="G17" s="79" t="s">
        <v>399</v>
      </c>
      <c r="H17" s="79" t="s">
        <v>399</v>
      </c>
      <c r="I17" s="79" t="s">
        <v>399</v>
      </c>
      <c r="J17" s="79" t="s">
        <v>399</v>
      </c>
      <c r="K17" s="79" t="s">
        <v>399</v>
      </c>
      <c r="L17" s="80" t="s">
        <v>392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414</v>
      </c>
      <c r="C18" s="116"/>
      <c r="D18" s="110">
        <v>10</v>
      </c>
      <c r="E18" s="314">
        <f t="shared" si="0"/>
        <v>1</v>
      </c>
      <c r="F18" s="311" t="s">
        <v>392</v>
      </c>
      <c r="G18" s="79" t="s">
        <v>399</v>
      </c>
      <c r="H18" s="79" t="s">
        <v>399</v>
      </c>
      <c r="I18" s="79" t="s">
        <v>399</v>
      </c>
      <c r="J18" s="79" t="s">
        <v>399</v>
      </c>
      <c r="K18" s="79" t="s">
        <v>399</v>
      </c>
      <c r="L18" s="80" t="s">
        <v>399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38" t="s">
        <v>651</v>
      </c>
      <c r="C19" s="339"/>
      <c r="D19" s="110"/>
      <c r="E19" s="314">
        <v>1</v>
      </c>
      <c r="F19" s="311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80" t="s">
        <v>392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401</v>
      </c>
      <c r="C20" s="116"/>
      <c r="D20" s="110">
        <v>11</v>
      </c>
      <c r="E20" s="314">
        <f t="shared" si="0"/>
        <v>1</v>
      </c>
      <c r="F20" s="311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80" t="s">
        <v>392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649</v>
      </c>
      <c r="C21" s="116"/>
      <c r="D21" s="110">
        <v>12</v>
      </c>
      <c r="E21" s="314">
        <f t="shared" si="0"/>
        <v>1</v>
      </c>
      <c r="F21" s="311" t="s">
        <v>399</v>
      </c>
      <c r="G21" s="79" t="s">
        <v>399</v>
      </c>
      <c r="H21" s="79" t="s">
        <v>399</v>
      </c>
      <c r="I21" s="79" t="s">
        <v>392</v>
      </c>
      <c r="J21" s="79" t="s">
        <v>399</v>
      </c>
      <c r="K21" s="79" t="s">
        <v>399</v>
      </c>
      <c r="L21" s="80" t="s">
        <v>399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415</v>
      </c>
      <c r="C22" s="116"/>
      <c r="D22" s="110">
        <v>13</v>
      </c>
      <c r="E22" s="314">
        <f t="shared" si="0"/>
        <v>1</v>
      </c>
      <c r="F22" s="311" t="s">
        <v>399</v>
      </c>
      <c r="G22" s="79" t="s">
        <v>399</v>
      </c>
      <c r="H22" s="79" t="s">
        <v>399</v>
      </c>
      <c r="I22" s="79" t="s">
        <v>399</v>
      </c>
      <c r="J22" s="79" t="s">
        <v>399</v>
      </c>
      <c r="K22" s="79" t="s">
        <v>399</v>
      </c>
      <c r="L22" s="80" t="s">
        <v>392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416</v>
      </c>
      <c r="C23" s="116"/>
      <c r="D23" s="110">
        <v>14</v>
      </c>
      <c r="E23" s="314">
        <f t="shared" si="0"/>
        <v>1</v>
      </c>
      <c r="F23" s="311" t="s">
        <v>392</v>
      </c>
      <c r="G23" s="79" t="s">
        <v>399</v>
      </c>
      <c r="H23" s="79" t="s">
        <v>399</v>
      </c>
      <c r="I23" s="79" t="s">
        <v>399</v>
      </c>
      <c r="J23" s="79" t="s">
        <v>399</v>
      </c>
      <c r="K23" s="79" t="s">
        <v>399</v>
      </c>
      <c r="L23" s="80" t="s">
        <v>399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417</v>
      </c>
      <c r="C24" s="116"/>
      <c r="D24" s="110">
        <v>15</v>
      </c>
      <c r="E24" s="314">
        <f t="shared" si="0"/>
        <v>0</v>
      </c>
      <c r="F24" s="311" t="s">
        <v>399</v>
      </c>
      <c r="G24" s="79" t="s">
        <v>399</v>
      </c>
      <c r="H24" s="79" t="s">
        <v>399</v>
      </c>
      <c r="I24" s="79" t="s">
        <v>392</v>
      </c>
      <c r="J24" s="79" t="s">
        <v>399</v>
      </c>
      <c r="K24" s="79" t="s">
        <v>399</v>
      </c>
      <c r="L24" s="80" t="s">
        <v>399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402</v>
      </c>
      <c r="C25" s="116"/>
      <c r="D25" s="110">
        <v>16</v>
      </c>
      <c r="E25" s="314">
        <f t="shared" si="0"/>
        <v>0</v>
      </c>
      <c r="F25" s="311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80" t="s">
        <v>392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403</v>
      </c>
      <c r="C26" s="116"/>
      <c r="D26" s="110">
        <v>17</v>
      </c>
      <c r="E26" s="314">
        <f t="shared" si="0"/>
        <v>0</v>
      </c>
      <c r="F26" s="311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80" t="s">
        <v>392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38" t="s">
        <v>650</v>
      </c>
      <c r="C27" s="339"/>
      <c r="D27" s="110"/>
      <c r="E27" s="314">
        <v>1</v>
      </c>
      <c r="F27" s="311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80" t="s">
        <v>392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404</v>
      </c>
      <c r="C28" s="116"/>
      <c r="D28" s="110">
        <v>18</v>
      </c>
      <c r="E28" s="314">
        <f t="shared" si="0"/>
        <v>1</v>
      </c>
      <c r="F28" s="311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80" t="s">
        <v>392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5" customFormat="1" ht="15">
      <c r="B29" s="338" t="s">
        <v>405</v>
      </c>
      <c r="C29" s="339"/>
      <c r="D29" s="340">
        <v>19</v>
      </c>
      <c r="E29" s="341">
        <v>1</v>
      </c>
      <c r="F29" s="311" t="s">
        <v>392</v>
      </c>
      <c r="G29" s="311" t="s">
        <v>392</v>
      </c>
      <c r="H29" s="311" t="s">
        <v>392</v>
      </c>
      <c r="I29" s="311" t="s">
        <v>392</v>
      </c>
      <c r="J29" s="311" t="s">
        <v>392</v>
      </c>
      <c r="K29" s="311" t="s">
        <v>392</v>
      </c>
      <c r="L29" s="311" t="s">
        <v>392</v>
      </c>
      <c r="M29" s="111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68"/>
    </row>
    <row r="30" spans="2:30" ht="15">
      <c r="B30" s="115" t="s">
        <v>406</v>
      </c>
      <c r="C30" s="116"/>
      <c r="D30" s="110">
        <v>20</v>
      </c>
      <c r="E30" s="314">
        <f t="shared" si="0"/>
        <v>0</v>
      </c>
      <c r="F30" s="311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80" t="s">
        <v>392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407</v>
      </c>
      <c r="C31" s="116"/>
      <c r="D31" s="110">
        <v>21</v>
      </c>
      <c r="E31" s="314">
        <f t="shared" si="0"/>
        <v>0</v>
      </c>
      <c r="F31" s="311" t="s">
        <v>399</v>
      </c>
      <c r="G31" s="79" t="s">
        <v>399</v>
      </c>
      <c r="H31" s="79" t="s">
        <v>392</v>
      </c>
      <c r="I31" s="79" t="s">
        <v>399</v>
      </c>
      <c r="J31" s="79" t="s">
        <v>399</v>
      </c>
      <c r="K31" s="79" t="s">
        <v>399</v>
      </c>
      <c r="L31" s="80" t="s">
        <v>399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408</v>
      </c>
      <c r="C32" s="116"/>
      <c r="D32" s="110">
        <v>22</v>
      </c>
      <c r="E32" s="314">
        <f t="shared" si="0"/>
        <v>0</v>
      </c>
      <c r="F32" s="311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80" t="s">
        <v>392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409</v>
      </c>
      <c r="C33" s="116"/>
      <c r="D33" s="110">
        <v>23</v>
      </c>
      <c r="E33" s="314">
        <f t="shared" si="0"/>
        <v>1</v>
      </c>
      <c r="F33" s="311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80" t="s">
        <v>392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410</v>
      </c>
      <c r="C34" s="116"/>
      <c r="D34" s="110">
        <v>24</v>
      </c>
      <c r="E34" s="314">
        <f t="shared" si="0"/>
        <v>1</v>
      </c>
      <c r="F34" s="311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80" t="s">
        <v>392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411</v>
      </c>
      <c r="C35" s="122"/>
      <c r="D35" s="123">
        <v>25</v>
      </c>
      <c r="E35" s="315">
        <f t="shared" si="0"/>
        <v>0</v>
      </c>
      <c r="F35" s="312" t="s">
        <v>391</v>
      </c>
      <c r="G35" s="81" t="s">
        <v>391</v>
      </c>
      <c r="H35" s="81" t="s">
        <v>391</v>
      </c>
      <c r="I35" s="81" t="s">
        <v>391</v>
      </c>
      <c r="J35" s="81" t="s">
        <v>391</v>
      </c>
      <c r="K35" s="81" t="s">
        <v>391</v>
      </c>
      <c r="L35" s="82" t="s">
        <v>392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7" customWidth="1"/>
    <col min="16" max="16" width="16.5703125" style="236" customWidth="1"/>
    <col min="17" max="16384" width="11.42578125" style="236"/>
  </cols>
  <sheetData>
    <row r="1" spans="1:16" s="235" customFormat="1">
      <c r="A1" s="130" t="s">
        <v>452</v>
      </c>
      <c r="B1" s="127"/>
      <c r="D1" s="216" t="s">
        <v>545</v>
      </c>
    </row>
    <row r="2" spans="1:16">
      <c r="A2" s="236"/>
      <c r="B2" s="235" t="s">
        <v>453</v>
      </c>
    </row>
    <row r="3" spans="1:16" ht="20.100000000000001" customHeight="1">
      <c r="A3" s="367" t="s">
        <v>249</v>
      </c>
      <c r="B3" s="237" t="s">
        <v>86</v>
      </c>
      <c r="C3" s="238"/>
      <c r="D3" s="369" t="s">
        <v>454</v>
      </c>
      <c r="E3" s="370"/>
      <c r="F3" s="370"/>
      <c r="G3" s="370"/>
      <c r="H3" s="370"/>
      <c r="I3" s="370"/>
      <c r="J3" s="371"/>
      <c r="K3" s="239"/>
      <c r="L3" s="239"/>
      <c r="M3" s="239"/>
      <c r="N3" s="239"/>
      <c r="O3" s="240"/>
      <c r="P3" s="239"/>
    </row>
    <row r="4" spans="1:16" ht="20.100000000000001" customHeight="1">
      <c r="A4" s="368"/>
      <c r="B4" s="241"/>
      <c r="C4" s="242"/>
      <c r="D4" s="243" t="s">
        <v>87</v>
      </c>
      <c r="E4" s="243" t="s">
        <v>88</v>
      </c>
      <c r="F4" s="243" t="s">
        <v>89</v>
      </c>
      <c r="G4" s="243" t="s">
        <v>90</v>
      </c>
      <c r="H4" s="243" t="s">
        <v>91</v>
      </c>
      <c r="I4" s="243" t="s">
        <v>92</v>
      </c>
      <c r="J4" s="243" t="s">
        <v>93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94</v>
      </c>
      <c r="C5" s="242"/>
      <c r="D5" s="243" t="s">
        <v>95</v>
      </c>
      <c r="E5" s="243" t="s">
        <v>96</v>
      </c>
      <c r="F5" s="243" t="s">
        <v>97</v>
      </c>
      <c r="G5" s="243" t="s">
        <v>98</v>
      </c>
      <c r="H5" s="243" t="s">
        <v>99</v>
      </c>
      <c r="I5" s="243" t="s">
        <v>100</v>
      </c>
      <c r="J5" s="243" t="s">
        <v>101</v>
      </c>
      <c r="K5" s="243" t="s">
        <v>102</v>
      </c>
      <c r="L5" s="244" t="s">
        <v>103</v>
      </c>
      <c r="M5" s="244" t="s">
        <v>104</v>
      </c>
      <c r="N5" s="246" t="s">
        <v>147</v>
      </c>
      <c r="O5" s="246" t="s">
        <v>251</v>
      </c>
      <c r="P5" s="247" t="s">
        <v>250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105</v>
      </c>
      <c r="C7" s="251" t="s">
        <v>106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102</v>
      </c>
      <c r="M7" s="253">
        <f t="shared" ref="M7:M21" si="0">MAX(D7:J7)</f>
        <v>1</v>
      </c>
      <c r="N7" s="254" t="s">
        <v>365</v>
      </c>
      <c r="O7" s="249"/>
      <c r="P7" s="243"/>
    </row>
    <row r="8" spans="1:16" ht="21" customHeight="1">
      <c r="A8" s="250">
        <v>2</v>
      </c>
      <c r="B8" s="243" t="s">
        <v>107</v>
      </c>
      <c r="C8" s="251" t="s">
        <v>108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102</v>
      </c>
      <c r="M8" s="253">
        <f t="shared" si="0"/>
        <v>1</v>
      </c>
      <c r="N8" s="254" t="s">
        <v>365</v>
      </c>
      <c r="O8" s="249"/>
      <c r="P8" s="243"/>
    </row>
    <row r="9" spans="1:16" ht="21" customHeight="1">
      <c r="A9" s="250">
        <v>3</v>
      </c>
      <c r="B9" s="243" t="s">
        <v>247</v>
      </c>
      <c r="C9" s="255" t="s">
        <v>5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102</v>
      </c>
      <c r="M9" s="253">
        <f t="shared" ref="M9" si="1">MAX(D9:J9)</f>
        <v>1</v>
      </c>
      <c r="N9" s="254" t="s">
        <v>5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3" t="s">
        <v>109</v>
      </c>
      <c r="C11" s="259" t="s">
        <v>110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96</v>
      </c>
      <c r="M11" s="253">
        <f t="shared" si="0"/>
        <v>1.0522626697461936</v>
      </c>
      <c r="N11" s="254" t="s">
        <v>254</v>
      </c>
      <c r="O11" s="249" t="s">
        <v>252</v>
      </c>
      <c r="P11" s="243"/>
    </row>
    <row r="12" spans="1:16">
      <c r="A12" s="250">
        <v>5</v>
      </c>
      <c r="B12" s="243" t="s">
        <v>111</v>
      </c>
      <c r="C12" s="259" t="s">
        <v>112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95</v>
      </c>
      <c r="M12" s="253">
        <f t="shared" si="0"/>
        <v>1.0358469949391176</v>
      </c>
      <c r="N12" s="254" t="s">
        <v>254</v>
      </c>
      <c r="O12" s="249" t="s">
        <v>252</v>
      </c>
      <c r="P12" s="243"/>
    </row>
    <row r="13" spans="1:16">
      <c r="A13" s="250">
        <v>6</v>
      </c>
      <c r="B13" s="243" t="s">
        <v>113</v>
      </c>
      <c r="C13" s="259" t="s">
        <v>114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95</v>
      </c>
      <c r="M13" s="253">
        <f t="shared" si="0"/>
        <v>1.069856584592316</v>
      </c>
      <c r="N13" s="254" t="s">
        <v>254</v>
      </c>
      <c r="O13" s="249" t="s">
        <v>252</v>
      </c>
      <c r="P13" s="243"/>
    </row>
    <row r="14" spans="1:16" ht="21" customHeight="1">
      <c r="A14" s="250">
        <v>7</v>
      </c>
      <c r="B14" s="243" t="s">
        <v>115</v>
      </c>
      <c r="C14" s="259" t="s">
        <v>116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95</v>
      </c>
      <c r="M14" s="253">
        <f t="shared" si="0"/>
        <v>1.1052461688999999</v>
      </c>
      <c r="N14" s="254" t="s">
        <v>254</v>
      </c>
      <c r="O14" s="249" t="s">
        <v>252</v>
      </c>
      <c r="P14" s="243"/>
    </row>
    <row r="15" spans="1:16" ht="21" customHeight="1">
      <c r="A15" s="250">
        <v>8</v>
      </c>
      <c r="B15" s="243" t="s">
        <v>117</v>
      </c>
      <c r="C15" s="259" t="s">
        <v>118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96</v>
      </c>
      <c r="M15" s="253">
        <f t="shared" si="0"/>
        <v>1.0389446761000001</v>
      </c>
      <c r="N15" s="254" t="s">
        <v>254</v>
      </c>
      <c r="O15" s="249" t="s">
        <v>252</v>
      </c>
      <c r="P15" s="243"/>
    </row>
    <row r="16" spans="1:16" ht="21" customHeight="1">
      <c r="A16" s="250">
        <v>9</v>
      </c>
      <c r="B16" s="243" t="s">
        <v>123</v>
      </c>
      <c r="C16" s="259" t="s">
        <v>124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97</v>
      </c>
      <c r="M16" s="253">
        <f>MAX(D16:J16)</f>
        <v>1.2706602107</v>
      </c>
      <c r="N16" s="254" t="s">
        <v>254</v>
      </c>
      <c r="O16" s="249" t="s">
        <v>252</v>
      </c>
      <c r="P16" s="243"/>
    </row>
    <row r="17" spans="1:16" ht="21" customHeight="1">
      <c r="A17" s="250">
        <v>10</v>
      </c>
      <c r="B17" s="243" t="s">
        <v>119</v>
      </c>
      <c r="C17" s="260" t="s">
        <v>120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100</v>
      </c>
      <c r="M17" s="253">
        <f t="shared" si="0"/>
        <v>1.0355882019</v>
      </c>
      <c r="N17" s="254" t="s">
        <v>254</v>
      </c>
      <c r="O17" s="249" t="s">
        <v>253</v>
      </c>
      <c r="P17" s="243" t="s">
        <v>117</v>
      </c>
    </row>
    <row r="18" spans="1:16" ht="21" customHeight="1">
      <c r="A18" s="250">
        <v>11</v>
      </c>
      <c r="B18" s="243" t="s">
        <v>121</v>
      </c>
      <c r="C18" s="260" t="s">
        <v>122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99</v>
      </c>
      <c r="M18" s="253">
        <f t="shared" si="0"/>
        <v>1.1401797148999999</v>
      </c>
      <c r="N18" s="254" t="s">
        <v>254</v>
      </c>
      <c r="O18" s="249" t="s">
        <v>253</v>
      </c>
      <c r="P18" s="243" t="s">
        <v>123</v>
      </c>
    </row>
    <row r="19" spans="1:16" ht="21" customHeight="1">
      <c r="A19" s="250">
        <v>12</v>
      </c>
      <c r="B19" s="243" t="s">
        <v>125</v>
      </c>
      <c r="C19" s="260" t="s">
        <v>126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98</v>
      </c>
      <c r="M19" s="253">
        <f t="shared" si="0"/>
        <v>1.0552346931000001</v>
      </c>
      <c r="N19" s="254" t="s">
        <v>254</v>
      </c>
      <c r="O19" s="249" t="s">
        <v>253</v>
      </c>
      <c r="P19" s="243" t="s">
        <v>109</v>
      </c>
    </row>
    <row r="20" spans="1:16" ht="21" customHeight="1">
      <c r="A20" s="250">
        <v>13</v>
      </c>
      <c r="B20" s="243" t="s">
        <v>127</v>
      </c>
      <c r="C20" s="260" t="s">
        <v>128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95</v>
      </c>
      <c r="M20" s="253">
        <f t="shared" si="0"/>
        <v>1.0865859003</v>
      </c>
      <c r="N20" s="254" t="s">
        <v>254</v>
      </c>
      <c r="O20" s="249" t="s">
        <v>253</v>
      </c>
      <c r="P20" s="243" t="s">
        <v>111</v>
      </c>
    </row>
    <row r="21" spans="1:16" ht="24.75" customHeight="1">
      <c r="A21" s="250">
        <v>14</v>
      </c>
      <c r="B21" s="243" t="s">
        <v>129</v>
      </c>
      <c r="C21" s="260" t="s">
        <v>130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96</v>
      </c>
      <c r="M21" s="253">
        <f t="shared" si="0"/>
        <v>1.0522626697461936</v>
      </c>
      <c r="N21" s="254" t="s">
        <v>254</v>
      </c>
      <c r="O21" s="249" t="s">
        <v>253</v>
      </c>
      <c r="P21" s="243" t="s">
        <v>117</v>
      </c>
    </row>
    <row r="22" spans="1:16" ht="25.5">
      <c r="A22" s="250">
        <v>15</v>
      </c>
      <c r="B22" s="243" t="s">
        <v>131</v>
      </c>
      <c r="C22" s="261" t="s">
        <v>132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96</v>
      </c>
      <c r="M22" s="253">
        <f>MAX(D22:J22)</f>
        <v>1.03</v>
      </c>
      <c r="N22" s="254" t="s">
        <v>254</v>
      </c>
      <c r="O22" s="249" t="s">
        <v>253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Bales Christian</cp:lastModifiedBy>
  <cp:lastPrinted>2015-03-20T22:59:10Z</cp:lastPrinted>
  <dcterms:created xsi:type="dcterms:W3CDTF">2015-01-15T05:25:41Z</dcterms:created>
  <dcterms:modified xsi:type="dcterms:W3CDTF">2022-02-15T08:49:22Z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